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227"/>
  <workbookPr filterPrivacy="1" defaultThemeVersion="124226"/>
  <xr:revisionPtr revIDLastSave="0" documentId="13_ncr:1_{34E404DD-17BA-40E7-B284-134987ECE708}" xr6:coauthVersionLast="47" xr6:coauthVersionMax="47" xr10:uidLastSave="{00000000-0000-0000-0000-000000000000}"/>
  <bookViews>
    <workbookView xWindow="-110" yWindow="-110" windowWidth="22620" windowHeight="13620" tabRatio="760" xr2:uid="{00000000-000D-0000-FFFF-FFFF00000000}"/>
  </bookViews>
  <sheets>
    <sheet name="საერთო ჯამი" sheetId="1" r:id="rId1"/>
    <sheet name="VI სართული" sheetId="18" r:id="rId2"/>
    <sheet name="რეანიმაცია" sheetId="23" r:id="rId3"/>
    <sheet name="ვენტილაცია" sheetId="24" r:id="rId4"/>
    <sheet name="აირები" sheetId="25" r:id="rId5"/>
    <sheet name="II სართული" sheetId="19" state="hidden" r:id="rId6"/>
    <sheet name="III სართული" sheetId="16" state="hidden" r:id="rId7"/>
    <sheet name="IV სართული" sheetId="11" state="hidden" r:id="rId8"/>
    <sheet name="V სართული" sheetId="17" state="hidden" r:id="rId9"/>
  </sheets>
  <definedNames>
    <definedName name="_xlnm._FilterDatabase" localSheetId="1" hidden="1">'VI სართული'!$A$7:$L$7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24" l="1"/>
  <c r="H9" i="25"/>
  <c r="F9" i="25"/>
  <c r="H8" i="25"/>
  <c r="I8" i="25" s="1"/>
  <c r="H7" i="25"/>
  <c r="F7" i="25"/>
  <c r="H6" i="25"/>
  <c r="F6" i="25"/>
  <c r="H5" i="25"/>
  <c r="F5" i="25"/>
  <c r="F10" i="25" s="1"/>
  <c r="I9" i="25" l="1"/>
  <c r="I5" i="25"/>
  <c r="I6" i="25"/>
  <c r="I7" i="25"/>
  <c r="H10" i="25"/>
  <c r="I10" i="25" l="1"/>
  <c r="I11" i="25" s="1"/>
  <c r="I12" i="25" s="1"/>
  <c r="I13" i="25" s="1"/>
  <c r="I14" i="25" s="1"/>
  <c r="I15" i="25" s="1"/>
  <c r="I16" i="25" s="1"/>
  <c r="C11" i="1" s="1"/>
  <c r="I12" i="24"/>
  <c r="H20" i="24"/>
  <c r="H21" i="24"/>
  <c r="H22" i="24"/>
  <c r="H23" i="24"/>
  <c r="H24" i="24"/>
  <c r="H25" i="24"/>
  <c r="H26" i="24"/>
  <c r="H27" i="24"/>
  <c r="I27" i="24" s="1"/>
  <c r="H28" i="24"/>
  <c r="H29" i="24"/>
  <c r="H30" i="24"/>
  <c r="I30" i="24" s="1"/>
  <c r="H31" i="24"/>
  <c r="I31" i="24" s="1"/>
  <c r="H32" i="24"/>
  <c r="I32" i="24" s="1"/>
  <c r="H33" i="24"/>
  <c r="I33" i="24" s="1"/>
  <c r="H34" i="24"/>
  <c r="I34" i="24" s="1"/>
  <c r="H5" i="24"/>
  <c r="H6" i="24"/>
  <c r="H7" i="24"/>
  <c r="H8" i="24"/>
  <c r="H9" i="24"/>
  <c r="H10" i="24"/>
  <c r="H11" i="24"/>
  <c r="H12" i="24"/>
  <c r="H13" i="24"/>
  <c r="H14" i="24"/>
  <c r="H15" i="24"/>
  <c r="H16" i="24"/>
  <c r="H17" i="24"/>
  <c r="H18" i="24"/>
  <c r="H19" i="24"/>
  <c r="H4" i="24"/>
  <c r="F23" i="24"/>
  <c r="F24" i="24"/>
  <c r="F25" i="24"/>
  <c r="F26" i="24"/>
  <c r="F27" i="24"/>
  <c r="F28" i="24"/>
  <c r="F29" i="24"/>
  <c r="F14" i="24"/>
  <c r="F15" i="24"/>
  <c r="F16" i="24"/>
  <c r="F17" i="24"/>
  <c r="F18" i="24"/>
  <c r="F19" i="24"/>
  <c r="F20" i="24"/>
  <c r="F21" i="24"/>
  <c r="F22" i="24"/>
  <c r="I22" i="24" s="1"/>
  <c r="F5" i="24"/>
  <c r="F6" i="24"/>
  <c r="I6" i="24" s="1"/>
  <c r="F7" i="24"/>
  <c r="I7" i="24" s="1"/>
  <c r="F8" i="24"/>
  <c r="I8" i="24" s="1"/>
  <c r="F9" i="24"/>
  <c r="I9" i="24" s="1"/>
  <c r="F10" i="24"/>
  <c r="I10" i="24" s="1"/>
  <c r="F11" i="24"/>
  <c r="I11" i="24" s="1"/>
  <c r="F12" i="24"/>
  <c r="F13" i="24"/>
  <c r="I13" i="24" s="1"/>
  <c r="K78" i="18"/>
  <c r="I78" i="18"/>
  <c r="G78" i="18"/>
  <c r="I29" i="24" l="1"/>
  <c r="I20" i="24"/>
  <c r="I28" i="24"/>
  <c r="I5" i="24"/>
  <c r="I21" i="24"/>
  <c r="I14" i="24"/>
  <c r="I26" i="24"/>
  <c r="I25" i="24"/>
  <c r="I24" i="24"/>
  <c r="I17" i="24"/>
  <c r="I23" i="24"/>
  <c r="I16" i="24"/>
  <c r="I15" i="24"/>
  <c r="H35" i="24"/>
  <c r="I36" i="24" s="1"/>
  <c r="I19" i="24"/>
  <c r="I18" i="24"/>
  <c r="I4" i="24"/>
  <c r="F35" i="24"/>
  <c r="I35" i="24" s="1"/>
  <c r="L78" i="18"/>
  <c r="I37" i="24" l="1"/>
  <c r="F128" i="23"/>
  <c r="F127" i="23"/>
  <c r="I38" i="24" l="1"/>
  <c r="I39" i="24" s="1"/>
  <c r="J242" i="23"/>
  <c r="M242" i="23" s="1"/>
  <c r="M238" i="23"/>
  <c r="H238" i="23"/>
  <c r="H237" i="23"/>
  <c r="M237" i="23" s="1"/>
  <c r="L236" i="23"/>
  <c r="J236" i="23"/>
  <c r="H236" i="23"/>
  <c r="L235" i="23"/>
  <c r="J235" i="23"/>
  <c r="H235" i="23"/>
  <c r="L234" i="23"/>
  <c r="J234" i="23"/>
  <c r="H234" i="23"/>
  <c r="L233" i="23"/>
  <c r="J233" i="23"/>
  <c r="H233" i="23"/>
  <c r="L232" i="23"/>
  <c r="J232" i="23"/>
  <c r="M232" i="23" s="1"/>
  <c r="H232" i="23"/>
  <c r="L231" i="23"/>
  <c r="J231" i="23"/>
  <c r="H231" i="23"/>
  <c r="L230" i="23"/>
  <c r="J230" i="23"/>
  <c r="H230" i="23"/>
  <c r="F228" i="23"/>
  <c r="H228" i="23" s="1"/>
  <c r="M228" i="23" s="1"/>
  <c r="H227" i="23"/>
  <c r="M227" i="23" s="1"/>
  <c r="L226" i="23"/>
  <c r="J226" i="23"/>
  <c r="H226" i="23"/>
  <c r="J225" i="23"/>
  <c r="H225" i="23"/>
  <c r="L224" i="23"/>
  <c r="J224" i="23"/>
  <c r="H224" i="23"/>
  <c r="M224" i="23" s="1"/>
  <c r="L223" i="23"/>
  <c r="J223" i="23"/>
  <c r="H223" i="23"/>
  <c r="J222" i="23"/>
  <c r="M222" i="23" s="1"/>
  <c r="H222" i="23"/>
  <c r="J221" i="23"/>
  <c r="H221" i="23"/>
  <c r="J220" i="23"/>
  <c r="H220" i="23"/>
  <c r="J219" i="23"/>
  <c r="H219" i="23"/>
  <c r="L218" i="23"/>
  <c r="J218" i="23"/>
  <c r="H218" i="23"/>
  <c r="L217" i="23"/>
  <c r="J217" i="23"/>
  <c r="H217" i="23"/>
  <c r="L216" i="23"/>
  <c r="J216" i="23"/>
  <c r="H216" i="23"/>
  <c r="L215" i="23"/>
  <c r="J215" i="23"/>
  <c r="H215" i="23"/>
  <c r="L214" i="23"/>
  <c r="J214" i="23"/>
  <c r="H214" i="23"/>
  <c r="H213" i="23"/>
  <c r="M213" i="23" s="1"/>
  <c r="H212" i="23"/>
  <c r="M212" i="23" s="1"/>
  <c r="H211" i="23"/>
  <c r="M211" i="23" s="1"/>
  <c r="H210" i="23"/>
  <c r="M210" i="23" s="1"/>
  <c r="H209" i="23"/>
  <c r="M209" i="23" s="1"/>
  <c r="H208" i="23"/>
  <c r="M208" i="23" s="1"/>
  <c r="F206" i="23"/>
  <c r="H206" i="23" s="1"/>
  <c r="M206" i="23" s="1"/>
  <c r="F205" i="23"/>
  <c r="H205" i="23" s="1"/>
  <c r="M205" i="23" s="1"/>
  <c r="F204" i="23"/>
  <c r="L204" i="23" s="1"/>
  <c r="M204" i="23" s="1"/>
  <c r="F203" i="23"/>
  <c r="F201" i="23"/>
  <c r="H201" i="23" s="1"/>
  <c r="M201" i="23" s="1"/>
  <c r="F200" i="23"/>
  <c r="H200" i="23" s="1"/>
  <c r="M200" i="23" s="1"/>
  <c r="F199" i="23"/>
  <c r="L199" i="23" s="1"/>
  <c r="M199" i="23" s="1"/>
  <c r="F198" i="23"/>
  <c r="H195" i="23"/>
  <c r="M195" i="23" s="1"/>
  <c r="H194" i="23"/>
  <c r="M194" i="23" s="1"/>
  <c r="H193" i="23"/>
  <c r="M193" i="23" s="1"/>
  <c r="H192" i="23"/>
  <c r="M192" i="23" s="1"/>
  <c r="H191" i="23"/>
  <c r="M191" i="23" s="1"/>
  <c r="H190" i="23"/>
  <c r="M190" i="23" s="1"/>
  <c r="H189" i="23"/>
  <c r="M189" i="23" s="1"/>
  <c r="H188" i="23"/>
  <c r="M188" i="23" s="1"/>
  <c r="F185" i="23"/>
  <c r="F187" i="23" s="1"/>
  <c r="L187" i="23" s="1"/>
  <c r="M187" i="23" s="1"/>
  <c r="F184" i="23"/>
  <c r="H184" i="23" s="1"/>
  <c r="M184" i="23" s="1"/>
  <c r="F183" i="23"/>
  <c r="H183" i="23" s="1"/>
  <c r="M183" i="23" s="1"/>
  <c r="F182" i="23"/>
  <c r="L182" i="23" s="1"/>
  <c r="M182" i="23" s="1"/>
  <c r="F181" i="23"/>
  <c r="J181" i="23" s="1"/>
  <c r="M181" i="23" s="1"/>
  <c r="F179" i="23"/>
  <c r="H179" i="23" s="1"/>
  <c r="M179" i="23" s="1"/>
  <c r="F178" i="23"/>
  <c r="H178" i="23" s="1"/>
  <c r="M178" i="23" s="1"/>
  <c r="F177" i="23"/>
  <c r="L177" i="23" s="1"/>
  <c r="M177" i="23" s="1"/>
  <c r="J176" i="23"/>
  <c r="M176" i="23" s="1"/>
  <c r="F176" i="23"/>
  <c r="F174" i="23"/>
  <c r="H174" i="23" s="1"/>
  <c r="M174" i="23" s="1"/>
  <c r="F173" i="23"/>
  <c r="H173" i="23" s="1"/>
  <c r="M173" i="23" s="1"/>
  <c r="F172" i="23"/>
  <c r="L172" i="23" s="1"/>
  <c r="M172" i="23" s="1"/>
  <c r="F171" i="23"/>
  <c r="J171" i="23" s="1"/>
  <c r="M171" i="23" s="1"/>
  <c r="M170" i="23"/>
  <c r="F169" i="23"/>
  <c r="H169" i="23" s="1"/>
  <c r="M169" i="23" s="1"/>
  <c r="F168" i="23"/>
  <c r="H168" i="23" s="1"/>
  <c r="M168" i="23" s="1"/>
  <c r="F167" i="23"/>
  <c r="L167" i="23" s="1"/>
  <c r="M167" i="23" s="1"/>
  <c r="F166" i="23"/>
  <c r="J166" i="23" s="1"/>
  <c r="M166" i="23" s="1"/>
  <c r="H164" i="23"/>
  <c r="M164" i="23" s="1"/>
  <c r="F164" i="23"/>
  <c r="F163" i="23"/>
  <c r="H163" i="23" s="1"/>
  <c r="M163" i="23" s="1"/>
  <c r="F162" i="23"/>
  <c r="L162" i="23" s="1"/>
  <c r="M162" i="23" s="1"/>
  <c r="F161" i="23"/>
  <c r="J161" i="23" s="1"/>
  <c r="M161" i="23" s="1"/>
  <c r="F158" i="23"/>
  <c r="H158" i="23" s="1"/>
  <c r="M158" i="23" s="1"/>
  <c r="F157" i="23"/>
  <c r="H157" i="23" s="1"/>
  <c r="M157" i="23" s="1"/>
  <c r="F156" i="23"/>
  <c r="H156" i="23" s="1"/>
  <c r="M156" i="23" s="1"/>
  <c r="F155" i="23"/>
  <c r="H155" i="23" s="1"/>
  <c r="M155" i="23" s="1"/>
  <c r="F154" i="23"/>
  <c r="H154" i="23" s="1"/>
  <c r="M154" i="23" s="1"/>
  <c r="F153" i="23"/>
  <c r="H153" i="23" s="1"/>
  <c r="M153" i="23" s="1"/>
  <c r="F152" i="23"/>
  <c r="L152" i="23" s="1"/>
  <c r="M152" i="23" s="1"/>
  <c r="F151" i="23"/>
  <c r="L151" i="23" s="1"/>
  <c r="H149" i="23"/>
  <c r="M149" i="23" s="1"/>
  <c r="F149" i="23"/>
  <c r="F148" i="23"/>
  <c r="H148" i="23" s="1"/>
  <c r="M148" i="23" s="1"/>
  <c r="H147" i="23"/>
  <c r="M147" i="23" s="1"/>
  <c r="F146" i="23"/>
  <c r="H146" i="23" s="1"/>
  <c r="M146" i="23" s="1"/>
  <c r="F145" i="23"/>
  <c r="H145" i="23" s="1"/>
  <c r="M145" i="23" s="1"/>
  <c r="F144" i="23"/>
  <c r="H144" i="23" s="1"/>
  <c r="M144" i="23" s="1"/>
  <c r="H143" i="23"/>
  <c r="M143" i="23" s="1"/>
  <c r="F143" i="23"/>
  <c r="F142" i="23"/>
  <c r="H142" i="23" s="1"/>
  <c r="M142" i="23" s="1"/>
  <c r="F141" i="23"/>
  <c r="L141" i="23" s="1"/>
  <c r="M141" i="23" s="1"/>
  <c r="F140" i="23"/>
  <c r="L140" i="23" s="1"/>
  <c r="F137" i="23"/>
  <c r="H137" i="23" s="1"/>
  <c r="M137" i="23" s="1"/>
  <c r="F136" i="23"/>
  <c r="H136" i="23" s="1"/>
  <c r="M136" i="23" s="1"/>
  <c r="F135" i="23"/>
  <c r="H135" i="23" s="1"/>
  <c r="F134" i="23"/>
  <c r="L134" i="23" s="1"/>
  <c r="M134" i="23" s="1"/>
  <c r="J133" i="23"/>
  <c r="M133" i="23" s="1"/>
  <c r="F133" i="23"/>
  <c r="H129" i="23"/>
  <c r="M129" i="23" s="1"/>
  <c r="H128" i="23"/>
  <c r="M128" i="23" s="1"/>
  <c r="H127" i="23"/>
  <c r="M127" i="23" s="1"/>
  <c r="F124" i="23"/>
  <c r="F126" i="23" s="1"/>
  <c r="L126" i="23" s="1"/>
  <c r="M126" i="23" s="1"/>
  <c r="H122" i="23"/>
  <c r="M122" i="23" s="1"/>
  <c r="F119" i="23"/>
  <c r="J119" i="23" s="1"/>
  <c r="F118" i="23"/>
  <c r="F123" i="23" s="1"/>
  <c r="H123" i="23" s="1"/>
  <c r="M123" i="23" s="1"/>
  <c r="F116" i="23"/>
  <c r="H116" i="23" s="1"/>
  <c r="M116" i="23" s="1"/>
  <c r="F115" i="23"/>
  <c r="H115" i="23" s="1"/>
  <c r="M115" i="23" s="1"/>
  <c r="F114" i="23"/>
  <c r="L114" i="23" s="1"/>
  <c r="M114" i="23" s="1"/>
  <c r="F113" i="23"/>
  <c r="J113" i="23" s="1"/>
  <c r="M113" i="23" s="1"/>
  <c r="F111" i="23"/>
  <c r="H111" i="23" s="1"/>
  <c r="M111" i="23" s="1"/>
  <c r="F110" i="23"/>
  <c r="H110" i="23" s="1"/>
  <c r="M110" i="23" s="1"/>
  <c r="H109" i="23"/>
  <c r="M109" i="23" s="1"/>
  <c r="F109" i="23"/>
  <c r="F108" i="23"/>
  <c r="H108" i="23" s="1"/>
  <c r="M108" i="23" s="1"/>
  <c r="F107" i="23"/>
  <c r="H107" i="23" s="1"/>
  <c r="M107" i="23" s="1"/>
  <c r="F106" i="23"/>
  <c r="L106" i="23" s="1"/>
  <c r="M106" i="23" s="1"/>
  <c r="F105" i="23"/>
  <c r="J105" i="23" s="1"/>
  <c r="M105" i="23" s="1"/>
  <c r="F103" i="23"/>
  <c r="H103" i="23" s="1"/>
  <c r="M103" i="23" s="1"/>
  <c r="F102" i="23"/>
  <c r="H102" i="23" s="1"/>
  <c r="M102" i="23" s="1"/>
  <c r="F101" i="23"/>
  <c r="H101" i="23" s="1"/>
  <c r="M101" i="23" s="1"/>
  <c r="F100" i="23"/>
  <c r="H100" i="23" s="1"/>
  <c r="M100" i="23" s="1"/>
  <c r="F99" i="23"/>
  <c r="L99" i="23" s="1"/>
  <c r="M99" i="23" s="1"/>
  <c r="F98" i="23"/>
  <c r="J98" i="23" s="1"/>
  <c r="M98" i="23" s="1"/>
  <c r="F96" i="23"/>
  <c r="H96" i="23" s="1"/>
  <c r="M96" i="23" s="1"/>
  <c r="H95" i="23"/>
  <c r="M95" i="23" s="1"/>
  <c r="F95" i="23"/>
  <c r="F94" i="23"/>
  <c r="H94" i="23" s="1"/>
  <c r="M94" i="23" s="1"/>
  <c r="F93" i="23"/>
  <c r="H93" i="23" s="1"/>
  <c r="M93" i="23" s="1"/>
  <c r="F92" i="23"/>
  <c r="L92" i="23" s="1"/>
  <c r="M92" i="23" s="1"/>
  <c r="F91" i="23"/>
  <c r="J91" i="23" s="1"/>
  <c r="M91" i="23" s="1"/>
  <c r="H89" i="23"/>
  <c r="M89" i="23" s="1"/>
  <c r="F89" i="23"/>
  <c r="H88" i="23"/>
  <c r="M88" i="23" s="1"/>
  <c r="F88" i="23"/>
  <c r="F87" i="23"/>
  <c r="H87" i="23" s="1"/>
  <c r="M87" i="23" s="1"/>
  <c r="H86" i="23"/>
  <c r="M86" i="23" s="1"/>
  <c r="F86" i="23"/>
  <c r="H85" i="23"/>
  <c r="M85" i="23" s="1"/>
  <c r="F85" i="23"/>
  <c r="F84" i="23"/>
  <c r="L84" i="23" s="1"/>
  <c r="M84" i="23" s="1"/>
  <c r="F83" i="23"/>
  <c r="J83" i="23" s="1"/>
  <c r="M83" i="23" s="1"/>
  <c r="F72" i="23"/>
  <c r="F76" i="23" s="1"/>
  <c r="H76" i="23" s="1"/>
  <c r="M76" i="23" s="1"/>
  <c r="F71" i="23"/>
  <c r="H71" i="23" s="1"/>
  <c r="M71" i="23" s="1"/>
  <c r="F70" i="23"/>
  <c r="H70" i="23" s="1"/>
  <c r="M70" i="23" s="1"/>
  <c r="F69" i="23"/>
  <c r="H69" i="23" s="1"/>
  <c r="M69" i="23" s="1"/>
  <c r="F68" i="23"/>
  <c r="L68" i="23" s="1"/>
  <c r="M68" i="23" s="1"/>
  <c r="J67" i="23"/>
  <c r="M67" i="23" s="1"/>
  <c r="F67" i="23"/>
  <c r="F65" i="23"/>
  <c r="H65" i="23" s="1"/>
  <c r="M65" i="23" s="1"/>
  <c r="F64" i="23"/>
  <c r="H64" i="23" s="1"/>
  <c r="M64" i="23" s="1"/>
  <c r="F63" i="23"/>
  <c r="H63" i="23" s="1"/>
  <c r="M63" i="23" s="1"/>
  <c r="F62" i="23"/>
  <c r="H62" i="23" s="1"/>
  <c r="M62" i="23" s="1"/>
  <c r="F61" i="23"/>
  <c r="H61" i="23" s="1"/>
  <c r="M61" i="23" s="1"/>
  <c r="F60" i="23"/>
  <c r="L60" i="23" s="1"/>
  <c r="M60" i="23" s="1"/>
  <c r="F59" i="23"/>
  <c r="J59" i="23" s="1"/>
  <c r="M59" i="23" s="1"/>
  <c r="F57" i="23"/>
  <c r="H57" i="23" s="1"/>
  <c r="M57" i="23" s="1"/>
  <c r="F56" i="23"/>
  <c r="H56" i="23" s="1"/>
  <c r="M56" i="23" s="1"/>
  <c r="F55" i="23"/>
  <c r="L55" i="23" s="1"/>
  <c r="M55" i="23" s="1"/>
  <c r="F54" i="23"/>
  <c r="J54" i="23" s="1"/>
  <c r="M54" i="23" s="1"/>
  <c r="F52" i="23"/>
  <c r="H52" i="23" s="1"/>
  <c r="M52" i="23" s="1"/>
  <c r="F51" i="23"/>
  <c r="H51" i="23" s="1"/>
  <c r="M51" i="23" s="1"/>
  <c r="F50" i="23"/>
  <c r="H50" i="23" s="1"/>
  <c r="M50" i="23" s="1"/>
  <c r="L49" i="23"/>
  <c r="M49" i="23" s="1"/>
  <c r="F49" i="23"/>
  <c r="F48" i="23"/>
  <c r="L44" i="23"/>
  <c r="F44" i="23"/>
  <c r="J44" i="23" s="1"/>
  <c r="L43" i="23"/>
  <c r="J43" i="23"/>
  <c r="H43" i="23"/>
  <c r="L42" i="23"/>
  <c r="J42" i="23"/>
  <c r="L41" i="23"/>
  <c r="J41" i="23"/>
  <c r="F40" i="23"/>
  <c r="L40" i="23" s="1"/>
  <c r="L39" i="23"/>
  <c r="J39" i="23"/>
  <c r="L38" i="23"/>
  <c r="J38" i="23"/>
  <c r="F37" i="23"/>
  <c r="J37" i="23" s="1"/>
  <c r="M36" i="23"/>
  <c r="J36" i="23"/>
  <c r="J35" i="23"/>
  <c r="M35" i="23" s="1"/>
  <c r="L34" i="23"/>
  <c r="F34" i="23"/>
  <c r="J34" i="23" s="1"/>
  <c r="J33" i="23"/>
  <c r="M33" i="23" s="1"/>
  <c r="J32" i="23"/>
  <c r="M32" i="23" s="1"/>
  <c r="M31" i="23"/>
  <c r="J31" i="23"/>
  <c r="J30" i="23"/>
  <c r="M30" i="23" s="1"/>
  <c r="J29" i="23"/>
  <c r="M29" i="23" s="1"/>
  <c r="J28" i="23"/>
  <c r="M28" i="23" s="1"/>
  <c r="J27" i="23"/>
  <c r="M27" i="23" s="1"/>
  <c r="J26" i="23"/>
  <c r="M26" i="23" s="1"/>
  <c r="J25" i="23"/>
  <c r="M25" i="23" s="1"/>
  <c r="J24" i="23"/>
  <c r="M24" i="23" s="1"/>
  <c r="J23" i="23"/>
  <c r="M23" i="23" s="1"/>
  <c r="J22" i="23"/>
  <c r="M22" i="23" s="1"/>
  <c r="J21" i="23"/>
  <c r="M21" i="23" s="1"/>
  <c r="J20" i="23"/>
  <c r="M20" i="23" s="1"/>
  <c r="J19" i="23"/>
  <c r="M19" i="23" s="1"/>
  <c r="F19" i="23"/>
  <c r="F18" i="23"/>
  <c r="F10" i="23"/>
  <c r="F14" i="23" s="1"/>
  <c r="H14" i="23" s="1"/>
  <c r="M14" i="23" s="1"/>
  <c r="L9" i="23"/>
  <c r="J9" i="23"/>
  <c r="H9" i="23"/>
  <c r="I40" i="24" l="1"/>
  <c r="I41" i="24" s="1"/>
  <c r="M43" i="23"/>
  <c r="M39" i="23"/>
  <c r="M235" i="23"/>
  <c r="M233" i="23"/>
  <c r="M216" i="23"/>
  <c r="M215" i="23"/>
  <c r="M219" i="23"/>
  <c r="M231" i="23"/>
  <c r="M226" i="23"/>
  <c r="M236" i="23"/>
  <c r="F78" i="23"/>
  <c r="H78" i="23" s="1"/>
  <c r="M78" i="23" s="1"/>
  <c r="M221" i="23"/>
  <c r="M234" i="23"/>
  <c r="F239" i="23"/>
  <c r="H239" i="23" s="1"/>
  <c r="M239" i="23" s="1"/>
  <c r="F11" i="23"/>
  <c r="M214" i="23"/>
  <c r="M230" i="23"/>
  <c r="M225" i="23"/>
  <c r="F16" i="23"/>
  <c r="H16" i="23" s="1"/>
  <c r="M16" i="23" s="1"/>
  <c r="M38" i="23"/>
  <c r="M223" i="23"/>
  <c r="M42" i="23"/>
  <c r="J48" i="23"/>
  <c r="M48" i="23" s="1"/>
  <c r="F74" i="23"/>
  <c r="L74" i="23" s="1"/>
  <c r="M74" i="23" s="1"/>
  <c r="M44" i="23"/>
  <c r="J18" i="23"/>
  <c r="M18" i="23" s="1"/>
  <c r="L119" i="23"/>
  <c r="M119" i="23" s="1"/>
  <c r="J140" i="23"/>
  <c r="M140" i="23" s="1"/>
  <c r="F186" i="23"/>
  <c r="J186" i="23" s="1"/>
  <c r="M186" i="23" s="1"/>
  <c r="M218" i="23"/>
  <c r="F79" i="23"/>
  <c r="H79" i="23" s="1"/>
  <c r="M79" i="23" s="1"/>
  <c r="L135" i="23"/>
  <c r="M135" i="23" s="1"/>
  <c r="J198" i="23"/>
  <c r="M198" i="23" s="1"/>
  <c r="L37" i="23"/>
  <c r="M37" i="23" s="1"/>
  <c r="F80" i="23"/>
  <c r="H80" i="23" s="1"/>
  <c r="M80" i="23" s="1"/>
  <c r="J203" i="23"/>
  <c r="M203" i="23" s="1"/>
  <c r="J11" i="23"/>
  <c r="M11" i="23" s="1"/>
  <c r="F12" i="23"/>
  <c r="L12" i="23" s="1"/>
  <c r="M12" i="23" s="1"/>
  <c r="M34" i="23"/>
  <c r="M41" i="23"/>
  <c r="F73" i="23"/>
  <c r="F125" i="23"/>
  <c r="J125" i="23" s="1"/>
  <c r="M125" i="23" s="1"/>
  <c r="J151" i="23"/>
  <c r="M151" i="23" s="1"/>
  <c r="F196" i="23"/>
  <c r="H196" i="23" s="1"/>
  <c r="M196" i="23" s="1"/>
  <c r="M220" i="23"/>
  <c r="M217" i="23"/>
  <c r="F15" i="23"/>
  <c r="H15" i="23" s="1"/>
  <c r="M15" i="23" s="1"/>
  <c r="J40" i="23"/>
  <c r="M40" i="23" s="1"/>
  <c r="F77" i="23"/>
  <c r="H77" i="23" s="1"/>
  <c r="M77" i="23" s="1"/>
  <c r="F121" i="23"/>
  <c r="H121" i="23" s="1"/>
  <c r="M121" i="23" s="1"/>
  <c r="F130" i="23"/>
  <c r="H130" i="23" s="1"/>
  <c r="M130" i="23" s="1"/>
  <c r="M9" i="23"/>
  <c r="F13" i="23"/>
  <c r="H13" i="23" s="1"/>
  <c r="M13" i="23" s="1"/>
  <c r="F75" i="23"/>
  <c r="H75" i="23" s="1"/>
  <c r="M75" i="23" s="1"/>
  <c r="F120" i="23"/>
  <c r="L120" i="23" s="1"/>
  <c r="M120" i="23" s="1"/>
  <c r="I42" i="24" l="1"/>
  <c r="H244" i="23"/>
  <c r="M245" i="23" s="1"/>
  <c r="L73" i="23"/>
  <c r="J73" i="23"/>
  <c r="J244" i="23"/>
  <c r="M252" i="23" s="1"/>
  <c r="I43" i="24" l="1"/>
  <c r="I44" i="24" s="1"/>
  <c r="I45" i="24" s="1"/>
  <c r="C10" i="1" s="1"/>
  <c r="M73" i="23"/>
  <c r="M244" i="23" s="1"/>
  <c r="M246" i="23" s="1"/>
  <c r="M247" i="23" s="1"/>
  <c r="M248" i="23" s="1"/>
  <c r="L244" i="23"/>
  <c r="K74" i="18"/>
  <c r="I74" i="18"/>
  <c r="G74" i="18"/>
  <c r="M249" i="23" l="1"/>
  <c r="M250" i="23" s="1"/>
  <c r="M251" i="23" s="1"/>
  <c r="M253" i="23" s="1"/>
  <c r="M254" i="23" s="1"/>
  <c r="M255" i="23" s="1"/>
  <c r="L74" i="18"/>
  <c r="K9" i="18"/>
  <c r="K10" i="18"/>
  <c r="K11" i="18"/>
  <c r="K13" i="18"/>
  <c r="K14" i="18"/>
  <c r="K16" i="18"/>
  <c r="K17" i="18"/>
  <c r="K34" i="18"/>
  <c r="K38" i="18"/>
  <c r="K40" i="18"/>
  <c r="K44" i="18"/>
  <c r="K50" i="18"/>
  <c r="K55" i="18"/>
  <c r="K56" i="18"/>
  <c r="K58" i="18"/>
  <c r="K63" i="18"/>
  <c r="K64" i="18"/>
  <c r="K65" i="18"/>
  <c r="K66" i="18"/>
  <c r="K67" i="18"/>
  <c r="K68" i="18"/>
  <c r="K69" i="18"/>
  <c r="K70" i="18"/>
  <c r="K72" i="18"/>
  <c r="K73" i="18"/>
  <c r="K75" i="18"/>
  <c r="K76" i="18"/>
  <c r="K77" i="18"/>
  <c r="K79" i="18"/>
  <c r="K80" i="18"/>
  <c r="I9" i="18"/>
  <c r="I10" i="18"/>
  <c r="I11" i="18"/>
  <c r="I13" i="18"/>
  <c r="I14" i="18"/>
  <c r="I16" i="18"/>
  <c r="I17" i="18"/>
  <c r="I34" i="18"/>
  <c r="I38" i="18"/>
  <c r="I40" i="18"/>
  <c r="I44" i="18"/>
  <c r="I50" i="18"/>
  <c r="I55" i="18"/>
  <c r="I56" i="18"/>
  <c r="I58" i="18"/>
  <c r="I63" i="18"/>
  <c r="I64" i="18"/>
  <c r="I65" i="18"/>
  <c r="I66" i="18"/>
  <c r="I67" i="18"/>
  <c r="I68" i="18"/>
  <c r="I69" i="18"/>
  <c r="I70" i="18"/>
  <c r="I72" i="18"/>
  <c r="I73" i="18"/>
  <c r="I75" i="18"/>
  <c r="I76" i="18"/>
  <c r="I77" i="18"/>
  <c r="I80" i="18"/>
  <c r="G9" i="18"/>
  <c r="G10" i="18"/>
  <c r="G11" i="18"/>
  <c r="G13" i="18"/>
  <c r="G14" i="18"/>
  <c r="G16" i="18"/>
  <c r="G17" i="18"/>
  <c r="G34" i="18"/>
  <c r="G38" i="18"/>
  <c r="G40" i="18"/>
  <c r="G44" i="18"/>
  <c r="G50" i="18"/>
  <c r="G55" i="18"/>
  <c r="G56" i="18"/>
  <c r="G58" i="18"/>
  <c r="G63" i="18"/>
  <c r="G64" i="18"/>
  <c r="G65" i="18"/>
  <c r="G66" i="18"/>
  <c r="G67" i="18"/>
  <c r="G68" i="18"/>
  <c r="G69" i="18"/>
  <c r="G70" i="18"/>
  <c r="G72" i="18"/>
  <c r="G73" i="18"/>
  <c r="L73" i="18" s="1"/>
  <c r="G75" i="18"/>
  <c r="L75" i="18" s="1"/>
  <c r="G76" i="18"/>
  <c r="L76" i="18" s="1"/>
  <c r="G77" i="18"/>
  <c r="G79" i="18"/>
  <c r="G80" i="18"/>
  <c r="I79" i="18"/>
  <c r="L80" i="18" l="1"/>
  <c r="L77" i="18"/>
  <c r="L79" i="18"/>
  <c r="L67" i="18"/>
  <c r="L11" i="18"/>
  <c r="L55" i="18"/>
  <c r="L70" i="18"/>
  <c r="L69" i="18"/>
  <c r="L68" i="18"/>
  <c r="L10" i="18"/>
  <c r="L9" i="18"/>
  <c r="L13" i="18"/>
  <c r="L66" i="18"/>
  <c r="L16" i="18"/>
  <c r="L65" i="18"/>
  <c r="L72" i="18"/>
  <c r="L64" i="18"/>
  <c r="L56" i="18"/>
  <c r="L38" i="18"/>
  <c r="L14" i="18"/>
  <c r="L63" i="18"/>
  <c r="L58" i="18"/>
  <c r="L50" i="18"/>
  <c r="L44" i="18"/>
  <c r="L40" i="18"/>
  <c r="L34" i="18"/>
  <c r="L17" i="18"/>
  <c r="K4" i="23"/>
  <c r="C9" i="1"/>
  <c r="E62" i="18" l="1"/>
  <c r="E60" i="18"/>
  <c r="E61" i="18"/>
  <c r="E59" i="18"/>
  <c r="E52" i="18"/>
  <c r="E51" i="18"/>
  <c r="E45" i="18"/>
  <c r="E46" i="18"/>
  <c r="E43" i="18"/>
  <c r="E42" i="18"/>
  <c r="E41" i="18"/>
  <c r="E39" i="18"/>
  <c r="E37" i="18"/>
  <c r="E36" i="18"/>
  <c r="E35" i="18"/>
  <c r="E28" i="18"/>
  <c r="E27" i="18"/>
  <c r="E21" i="18"/>
  <c r="E20" i="18"/>
  <c r="E18" i="18"/>
  <c r="G62" i="18" l="1"/>
  <c r="K62" i="18"/>
  <c r="I62" i="18"/>
  <c r="K41" i="18"/>
  <c r="G41" i="18"/>
  <c r="I41" i="18"/>
  <c r="K35" i="18"/>
  <c r="I35" i="18"/>
  <c r="G35" i="18"/>
  <c r="G61" i="18"/>
  <c r="I61" i="18"/>
  <c r="K61" i="18"/>
  <c r="K60" i="18"/>
  <c r="G60" i="18"/>
  <c r="I60" i="18"/>
  <c r="K43" i="18"/>
  <c r="G43" i="18"/>
  <c r="I43" i="18"/>
  <c r="K46" i="18"/>
  <c r="I46" i="18"/>
  <c r="G46" i="18"/>
  <c r="I45" i="18"/>
  <c r="G45" i="18"/>
  <c r="K45" i="18"/>
  <c r="L45" i="18" s="1"/>
  <c r="I36" i="18"/>
  <c r="G36" i="18"/>
  <c r="K36" i="18"/>
  <c r="K51" i="18"/>
  <c r="G51" i="18"/>
  <c r="I51" i="18"/>
  <c r="K20" i="18"/>
  <c r="G20" i="18"/>
  <c r="I20" i="18"/>
  <c r="I21" i="18"/>
  <c r="K21" i="18"/>
  <c r="G21" i="18"/>
  <c r="E32" i="18"/>
  <c r="K27" i="18"/>
  <c r="G27" i="18"/>
  <c r="I27" i="18"/>
  <c r="G28" i="18"/>
  <c r="K28" i="18"/>
  <c r="I28" i="18"/>
  <c r="K42" i="18"/>
  <c r="G42" i="18"/>
  <c r="I42" i="18"/>
  <c r="K37" i="18"/>
  <c r="I37" i="18"/>
  <c r="G37" i="18"/>
  <c r="K52" i="18"/>
  <c r="G52" i="18"/>
  <c r="I52" i="18"/>
  <c r="K18" i="18"/>
  <c r="G18" i="18"/>
  <c r="I18" i="18"/>
  <c r="K39" i="18"/>
  <c r="I39" i="18"/>
  <c r="G39" i="18"/>
  <c r="K59" i="18"/>
  <c r="G59" i="18"/>
  <c r="I59" i="18"/>
  <c r="E71" i="18"/>
  <c r="E49" i="18"/>
  <c r="E47" i="18"/>
  <c r="E48" i="18"/>
  <c r="E19" i="18"/>
  <c r="L43" i="18" l="1"/>
  <c r="L61" i="18"/>
  <c r="L36" i="18"/>
  <c r="L39" i="18"/>
  <c r="L21" i="18"/>
  <c r="L20" i="18"/>
  <c r="L27" i="18"/>
  <c r="L51" i="18"/>
  <c r="K49" i="18"/>
  <c r="G49" i="18"/>
  <c r="I49" i="18"/>
  <c r="L18" i="18"/>
  <c r="L37" i="18"/>
  <c r="I71" i="18"/>
  <c r="K71" i="18"/>
  <c r="G71" i="18"/>
  <c r="L60" i="18"/>
  <c r="L42" i="18"/>
  <c r="L41" i="18"/>
  <c r="L35" i="18"/>
  <c r="L59" i="18"/>
  <c r="L46" i="18"/>
  <c r="K32" i="18"/>
  <c r="I32" i="18"/>
  <c r="G32" i="18"/>
  <c r="L52" i="18"/>
  <c r="L28" i="18"/>
  <c r="L62" i="18"/>
  <c r="K19" i="18"/>
  <c r="I19" i="18"/>
  <c r="G19" i="18"/>
  <c r="I48" i="18"/>
  <c r="K48" i="18"/>
  <c r="G48" i="18"/>
  <c r="K47" i="18"/>
  <c r="I47" i="18"/>
  <c r="G47" i="18"/>
  <c r="E12" i="18"/>
  <c r="L71" i="18" l="1"/>
  <c r="L19" i="18"/>
  <c r="L49" i="18"/>
  <c r="L32" i="18"/>
  <c r="K12" i="18"/>
  <c r="G12" i="18"/>
  <c r="I12" i="18"/>
  <c r="L47" i="18"/>
  <c r="L48" i="18"/>
  <c r="E22" i="18"/>
  <c r="E15" i="18"/>
  <c r="E53" i="18"/>
  <c r="I22" i="18" l="1"/>
  <c r="K22" i="18"/>
  <c r="G22" i="18"/>
  <c r="L12" i="18"/>
  <c r="G53" i="18"/>
  <c r="K53" i="18"/>
  <c r="I53" i="18"/>
  <c r="K15" i="18"/>
  <c r="I15" i="18"/>
  <c r="G15" i="18"/>
  <c r="E25" i="18"/>
  <c r="E23" i="18"/>
  <c r="E24" i="18"/>
  <c r="E26" i="18"/>
  <c r="E57" i="18"/>
  <c r="L15" i="18" l="1"/>
  <c r="K24" i="18"/>
  <c r="I24" i="18"/>
  <c r="G24" i="18"/>
  <c r="I57" i="18"/>
  <c r="K57" i="18"/>
  <c r="G57" i="18"/>
  <c r="K26" i="18"/>
  <c r="G26" i="18"/>
  <c r="I26" i="18"/>
  <c r="L22" i="18"/>
  <c r="L53" i="18"/>
  <c r="K23" i="18"/>
  <c r="I23" i="18"/>
  <c r="G23" i="18"/>
  <c r="K25" i="18"/>
  <c r="G25" i="18"/>
  <c r="I25" i="18"/>
  <c r="E31" i="18"/>
  <c r="E30" i="18"/>
  <c r="E33" i="18"/>
  <c r="E29" i="18"/>
  <c r="D14" i="16"/>
  <c r="D12" i="16"/>
  <c r="D11" i="16"/>
  <c r="J10" i="16"/>
  <c r="H10" i="16"/>
  <c r="F10" i="16"/>
  <c r="L57" i="18" l="1"/>
  <c r="L26" i="18"/>
  <c r="L25" i="18"/>
  <c r="K33" i="18"/>
  <c r="G33" i="18"/>
  <c r="I33" i="18"/>
  <c r="L23" i="18"/>
  <c r="I30" i="18"/>
  <c r="K30" i="18"/>
  <c r="G30" i="18"/>
  <c r="I29" i="18"/>
  <c r="K29" i="18"/>
  <c r="G29" i="18"/>
  <c r="K31" i="18"/>
  <c r="G31" i="18"/>
  <c r="I31" i="18"/>
  <c r="L24" i="18"/>
  <c r="K10" i="16"/>
  <c r="J14" i="16"/>
  <c r="D34" i="16"/>
  <c r="J34" i="16" s="1"/>
  <c r="D33" i="16"/>
  <c r="F33" i="16" s="1"/>
  <c r="J32" i="16"/>
  <c r="H32" i="16"/>
  <c r="F32" i="16"/>
  <c r="D31" i="16"/>
  <c r="H31" i="16" s="1"/>
  <c r="D30" i="16"/>
  <c r="J30" i="16" s="1"/>
  <c r="D29" i="16"/>
  <c r="J29" i="16" s="1"/>
  <c r="D28" i="16"/>
  <c r="F28" i="16" s="1"/>
  <c r="J27" i="16"/>
  <c r="H27" i="16"/>
  <c r="F27" i="16"/>
  <c r="D16" i="16"/>
  <c r="H16" i="16" s="1"/>
  <c r="J15" i="16"/>
  <c r="H15" i="16"/>
  <c r="F15" i="16"/>
  <c r="D13" i="16"/>
  <c r="J13" i="16" s="1"/>
  <c r="F12" i="16"/>
  <c r="H11" i="16"/>
  <c r="J9" i="16"/>
  <c r="H9" i="16"/>
  <c r="F9" i="16"/>
  <c r="D66" i="16"/>
  <c r="H66" i="16" s="1"/>
  <c r="D65" i="16"/>
  <c r="F65" i="16" s="1"/>
  <c r="J64" i="16"/>
  <c r="H64" i="16"/>
  <c r="F64" i="16"/>
  <c r="D63" i="16"/>
  <c r="H63" i="16" s="1"/>
  <c r="D62" i="16"/>
  <c r="J62" i="16" s="1"/>
  <c r="D61" i="16"/>
  <c r="J61" i="16" s="1"/>
  <c r="D60" i="16"/>
  <c r="F60" i="16" s="1"/>
  <c r="J59" i="16"/>
  <c r="H59" i="16"/>
  <c r="F59" i="16"/>
  <c r="D58" i="16"/>
  <c r="H58" i="16" s="1"/>
  <c r="J57" i="16"/>
  <c r="H57" i="16"/>
  <c r="F57" i="16"/>
  <c r="D56" i="16"/>
  <c r="J56" i="16" s="1"/>
  <c r="D55" i="16"/>
  <c r="J55" i="16" s="1"/>
  <c r="D54" i="16"/>
  <c r="F54" i="16" s="1"/>
  <c r="D53" i="16"/>
  <c r="H53" i="16" s="1"/>
  <c r="D52" i="16"/>
  <c r="J52" i="16" s="1"/>
  <c r="J51" i="16"/>
  <c r="H51" i="16"/>
  <c r="F51" i="16"/>
  <c r="L29" i="18" l="1"/>
  <c r="L30" i="18"/>
  <c r="L31" i="18"/>
  <c r="L33" i="18"/>
  <c r="H65" i="16"/>
  <c r="K15" i="16"/>
  <c r="F55" i="16"/>
  <c r="J53" i="16"/>
  <c r="H55" i="16"/>
  <c r="H12" i="16"/>
  <c r="J66" i="16"/>
  <c r="J12" i="16"/>
  <c r="K32" i="16"/>
  <c r="K57" i="16"/>
  <c r="K51" i="16"/>
  <c r="F29" i="16"/>
  <c r="H29" i="16"/>
  <c r="F13" i="16"/>
  <c r="J16" i="16"/>
  <c r="H13" i="16"/>
  <c r="K59" i="16"/>
  <c r="H28" i="16"/>
  <c r="J31" i="16"/>
  <c r="F34" i="16"/>
  <c r="F58" i="16"/>
  <c r="F61" i="16"/>
  <c r="H54" i="16"/>
  <c r="J58" i="16"/>
  <c r="H61" i="16"/>
  <c r="F63" i="16"/>
  <c r="K64" i="16"/>
  <c r="F66" i="16"/>
  <c r="J11" i="16"/>
  <c r="J28" i="16"/>
  <c r="H33" i="16"/>
  <c r="H34" i="16"/>
  <c r="F53" i="16"/>
  <c r="H60" i="16"/>
  <c r="J63" i="16"/>
  <c r="K9" i="16"/>
  <c r="K27" i="16"/>
  <c r="J33" i="16"/>
  <c r="F14" i="16"/>
  <c r="F30" i="16"/>
  <c r="F11" i="16"/>
  <c r="H14" i="16"/>
  <c r="F16" i="16"/>
  <c r="H30" i="16"/>
  <c r="F31" i="16"/>
  <c r="F52" i="16"/>
  <c r="J54" i="16"/>
  <c r="F56" i="16"/>
  <c r="J60" i="16"/>
  <c r="F62" i="16"/>
  <c r="J65" i="16"/>
  <c r="H52" i="16"/>
  <c r="H56" i="16"/>
  <c r="H62" i="16"/>
  <c r="K65" i="16" l="1"/>
  <c r="K53" i="16"/>
  <c r="K34" i="16"/>
  <c r="K55" i="16"/>
  <c r="K12" i="16"/>
  <c r="K33" i="16"/>
  <c r="K13" i="16"/>
  <c r="K30" i="16"/>
  <c r="K66" i="16"/>
  <c r="K11" i="16"/>
  <c r="K16" i="16"/>
  <c r="K31" i="16"/>
  <c r="K62" i="16"/>
  <c r="K61" i="16"/>
  <c r="K63" i="16"/>
  <c r="K60" i="16"/>
  <c r="K14" i="16"/>
  <c r="K28" i="16"/>
  <c r="K29" i="16"/>
  <c r="K52" i="16"/>
  <c r="K56" i="16"/>
  <c r="K54" i="16"/>
  <c r="K58" i="16"/>
  <c r="D35" i="16" l="1"/>
  <c r="J35" i="16" s="1"/>
  <c r="J10" i="17"/>
  <c r="J13" i="17"/>
  <c r="J14" i="17"/>
  <c r="J21" i="17"/>
  <c r="J23" i="17"/>
  <c r="J27" i="17"/>
  <c r="J28" i="17"/>
  <c r="J29" i="17"/>
  <c r="J31" i="17"/>
  <c r="J33" i="17"/>
  <c r="J34" i="17"/>
  <c r="J37" i="17"/>
  <c r="J39" i="17"/>
  <c r="J40" i="17"/>
  <c r="K40" i="17" s="1"/>
  <c r="J41" i="17"/>
  <c r="H10" i="17"/>
  <c r="H13" i="17"/>
  <c r="H14" i="17"/>
  <c r="H21" i="17"/>
  <c r="H23" i="17"/>
  <c r="H27" i="17"/>
  <c r="H28" i="17"/>
  <c r="H29" i="17"/>
  <c r="H31" i="17"/>
  <c r="H33" i="17"/>
  <c r="H34" i="17"/>
  <c r="H37" i="17"/>
  <c r="H39" i="17"/>
  <c r="H40" i="17"/>
  <c r="H41" i="17"/>
  <c r="F10" i="17"/>
  <c r="F13" i="17"/>
  <c r="F14" i="17"/>
  <c r="F21" i="17"/>
  <c r="F23" i="17"/>
  <c r="F27" i="17"/>
  <c r="F28" i="17"/>
  <c r="F29" i="17"/>
  <c r="F31" i="17"/>
  <c r="F33" i="17"/>
  <c r="F34" i="17"/>
  <c r="F37" i="17"/>
  <c r="F39" i="17"/>
  <c r="F40" i="17"/>
  <c r="F41" i="17"/>
  <c r="D26" i="17"/>
  <c r="J26" i="17" s="1"/>
  <c r="D25" i="17"/>
  <c r="J25" i="17" s="1"/>
  <c r="D24" i="17"/>
  <c r="J24" i="17" s="1"/>
  <c r="K27" i="17" l="1"/>
  <c r="K33" i="17"/>
  <c r="K13" i="17"/>
  <c r="K41" i="17"/>
  <c r="K34" i="17"/>
  <c r="K28" i="17"/>
  <c r="K14" i="17"/>
  <c r="K39" i="17"/>
  <c r="K31" i="17"/>
  <c r="K23" i="17"/>
  <c r="K10" i="17"/>
  <c r="K37" i="17"/>
  <c r="K29" i="17"/>
  <c r="K21" i="17"/>
  <c r="F26" i="17"/>
  <c r="H26" i="17"/>
  <c r="F25" i="17"/>
  <c r="H25" i="17"/>
  <c r="K25" i="17" s="1"/>
  <c r="F24" i="17"/>
  <c r="H24" i="17"/>
  <c r="K24" i="17" s="1"/>
  <c r="H35" i="16"/>
  <c r="F35" i="16"/>
  <c r="K26" i="17" l="1"/>
  <c r="K35" i="16"/>
  <c r="G8" i="18"/>
  <c r="I8" i="18"/>
  <c r="K8" i="18"/>
  <c r="E54" i="18"/>
  <c r="I54" i="18" l="1"/>
  <c r="K54" i="18"/>
  <c r="G54" i="18"/>
  <c r="L8" i="18"/>
  <c r="D20" i="19"/>
  <c r="H20" i="19" s="1"/>
  <c r="J19" i="19"/>
  <c r="H19" i="19"/>
  <c r="F19" i="19"/>
  <c r="D18" i="19"/>
  <c r="F18" i="19" s="1"/>
  <c r="D17" i="19"/>
  <c r="H17" i="19" s="1"/>
  <c r="J16" i="19"/>
  <c r="H16" i="19"/>
  <c r="F16" i="19"/>
  <c r="D15" i="19"/>
  <c r="J15" i="19" s="1"/>
  <c r="D14" i="19"/>
  <c r="H14" i="19" s="1"/>
  <c r="D13" i="19"/>
  <c r="F13" i="19" s="1"/>
  <c r="D12" i="19"/>
  <c r="H12" i="19" s="1"/>
  <c r="D11" i="19"/>
  <c r="J11" i="19" s="1"/>
  <c r="D10" i="19"/>
  <c r="H10" i="19" s="1"/>
  <c r="J9" i="19"/>
  <c r="H9" i="19"/>
  <c r="F9" i="19"/>
  <c r="J8" i="19"/>
  <c r="H8" i="19"/>
  <c r="F8" i="19"/>
  <c r="D20" i="11"/>
  <c r="J10" i="11"/>
  <c r="J11" i="11"/>
  <c r="J13" i="11"/>
  <c r="J14" i="11"/>
  <c r="J19" i="11"/>
  <c r="J26" i="11"/>
  <c r="J29" i="11"/>
  <c r="J31" i="11"/>
  <c r="H10" i="11"/>
  <c r="H11" i="11"/>
  <c r="H13" i="11"/>
  <c r="H14" i="11"/>
  <c r="H19" i="11"/>
  <c r="H26" i="11"/>
  <c r="H29" i="11"/>
  <c r="H31" i="11"/>
  <c r="F10" i="11"/>
  <c r="F11" i="11"/>
  <c r="K11" i="11" s="1"/>
  <c r="F13" i="11"/>
  <c r="F14" i="11"/>
  <c r="F19" i="11"/>
  <c r="K19" i="11" s="1"/>
  <c r="F26" i="11"/>
  <c r="F29" i="11"/>
  <c r="F31" i="11"/>
  <c r="K31" i="11" s="1"/>
  <c r="D18" i="11"/>
  <c r="J18" i="11" s="1"/>
  <c r="D17" i="11"/>
  <c r="F17" i="11" s="1"/>
  <c r="D16" i="11"/>
  <c r="F16" i="11" s="1"/>
  <c r="D15" i="11"/>
  <c r="H15" i="11" s="1"/>
  <c r="L54" i="18" l="1"/>
  <c r="K16" i="19"/>
  <c r="H13" i="19"/>
  <c r="F10" i="19"/>
  <c r="F12" i="19"/>
  <c r="H18" i="19"/>
  <c r="K9" i="19"/>
  <c r="J10" i="19"/>
  <c r="J12" i="19"/>
  <c r="F14" i="19"/>
  <c r="F17" i="19"/>
  <c r="F20" i="19"/>
  <c r="K8" i="19"/>
  <c r="J14" i="19"/>
  <c r="J17" i="19"/>
  <c r="K19" i="19"/>
  <c r="J20" i="19"/>
  <c r="F11" i="19"/>
  <c r="J13" i="19"/>
  <c r="K13" i="19" s="1"/>
  <c r="F15" i="19"/>
  <c r="J18" i="19"/>
  <c r="H11" i="19"/>
  <c r="H15" i="19"/>
  <c r="J17" i="11"/>
  <c r="F18" i="11"/>
  <c r="J15" i="11"/>
  <c r="F15" i="11"/>
  <c r="K15" i="11" s="1"/>
  <c r="H18" i="11"/>
  <c r="K26" i="11"/>
  <c r="K14" i="11"/>
  <c r="K10" i="11"/>
  <c r="H17" i="11"/>
  <c r="J16" i="11"/>
  <c r="K29" i="11"/>
  <c r="K13" i="11"/>
  <c r="H16" i="11"/>
  <c r="D25" i="11"/>
  <c r="D24" i="11"/>
  <c r="D23" i="11"/>
  <c r="D22" i="11"/>
  <c r="D21" i="11"/>
  <c r="D28" i="11"/>
  <c r="D30" i="11"/>
  <c r="D11" i="17"/>
  <c r="D30" i="17"/>
  <c r="D16" i="17"/>
  <c r="D15" i="17"/>
  <c r="D22" i="17"/>
  <c r="K16" i="11" l="1"/>
  <c r="J11" i="17"/>
  <c r="H11" i="17"/>
  <c r="F11" i="17"/>
  <c r="J22" i="17"/>
  <c r="H22" i="17"/>
  <c r="F22" i="17"/>
  <c r="J15" i="17"/>
  <c r="H15" i="17"/>
  <c r="F15" i="17"/>
  <c r="J16" i="17"/>
  <c r="H16" i="17"/>
  <c r="F16" i="17"/>
  <c r="J30" i="17"/>
  <c r="H30" i="17"/>
  <c r="F30" i="17"/>
  <c r="K18" i="11"/>
  <c r="K12" i="19"/>
  <c r="K10" i="19"/>
  <c r="K14" i="19"/>
  <c r="H21" i="19"/>
  <c r="K29" i="19" s="1"/>
  <c r="K15" i="19"/>
  <c r="F21" i="19"/>
  <c r="K20" i="19"/>
  <c r="K18" i="19"/>
  <c r="K17" i="19"/>
  <c r="K11" i="19"/>
  <c r="J21" i="19"/>
  <c r="K17" i="11"/>
  <c r="F21" i="11"/>
  <c r="H21" i="11"/>
  <c r="J21" i="11"/>
  <c r="J30" i="11"/>
  <c r="F30" i="11"/>
  <c r="H30" i="11"/>
  <c r="F25" i="11"/>
  <c r="H25" i="11"/>
  <c r="J25" i="11"/>
  <c r="J22" i="11"/>
  <c r="F22" i="11"/>
  <c r="H22" i="11"/>
  <c r="F28" i="11"/>
  <c r="H28" i="11"/>
  <c r="J28" i="11"/>
  <c r="H23" i="11"/>
  <c r="J23" i="11"/>
  <c r="F23" i="11"/>
  <c r="F20" i="11"/>
  <c r="H20" i="11"/>
  <c r="J20" i="11"/>
  <c r="F24" i="11"/>
  <c r="H24" i="11"/>
  <c r="J24" i="11"/>
  <c r="K15" i="17" l="1"/>
  <c r="K30" i="17"/>
  <c r="K22" i="17"/>
  <c r="K16" i="17"/>
  <c r="K11" i="17"/>
  <c r="K21" i="19"/>
  <c r="K22" i="19" s="1"/>
  <c r="K23" i="19" s="1"/>
  <c r="K25" i="11"/>
  <c r="K24" i="11"/>
  <c r="K23" i="11"/>
  <c r="K20" i="11"/>
  <c r="K22" i="11"/>
  <c r="K28" i="11"/>
  <c r="K30" i="11"/>
  <c r="K21" i="11"/>
  <c r="K24" i="19" l="1"/>
  <c r="K25" i="19" s="1"/>
  <c r="K26" i="19" s="1"/>
  <c r="K27" i="19" s="1"/>
  <c r="K28" i="19" s="1"/>
  <c r="K30" i="19" s="1"/>
  <c r="K31" i="19" s="1"/>
  <c r="K32" i="19" s="1"/>
  <c r="I4" i="19" s="1"/>
  <c r="H36" i="16" l="1"/>
  <c r="K44" i="16" s="1"/>
  <c r="F36" i="16"/>
  <c r="D32" i="11"/>
  <c r="D27" i="11"/>
  <c r="D12" i="11"/>
  <c r="J9" i="11"/>
  <c r="H9" i="11"/>
  <c r="F9" i="11"/>
  <c r="H27" i="11" l="1"/>
  <c r="J27" i="11"/>
  <c r="F27" i="11"/>
  <c r="F12" i="11"/>
  <c r="H12" i="11"/>
  <c r="J12" i="11"/>
  <c r="F32" i="11"/>
  <c r="H32" i="11"/>
  <c r="J32" i="11"/>
  <c r="K36" i="16"/>
  <c r="K37" i="16" s="1"/>
  <c r="K38" i="16" s="1"/>
  <c r="J36" i="16"/>
  <c r="K9" i="11"/>
  <c r="K12" i="11" l="1"/>
  <c r="K27" i="11"/>
  <c r="K32" i="11"/>
  <c r="K39" i="16"/>
  <c r="K40" i="16" s="1"/>
  <c r="K41" i="16" l="1"/>
  <c r="K42" i="16" s="1"/>
  <c r="K43" i="16" s="1"/>
  <c r="K45" i="16" s="1"/>
  <c r="K46" i="16" s="1"/>
  <c r="K47" i="16" s="1"/>
  <c r="H33" i="11"/>
  <c r="K41" i="11" s="1"/>
  <c r="F33" i="11"/>
  <c r="J33" i="11"/>
  <c r="D38" i="17"/>
  <c r="D36" i="17"/>
  <c r="D35" i="17"/>
  <c r="D32" i="17"/>
  <c r="D20" i="17"/>
  <c r="D19" i="17"/>
  <c r="D18" i="17"/>
  <c r="D17" i="17"/>
  <c r="J9" i="17"/>
  <c r="H9" i="17"/>
  <c r="F9" i="17"/>
  <c r="J36" i="17" l="1"/>
  <c r="H36" i="17"/>
  <c r="F36" i="17"/>
  <c r="J35" i="17"/>
  <c r="H35" i="17"/>
  <c r="F35" i="17"/>
  <c r="J38" i="17"/>
  <c r="H38" i="17"/>
  <c r="F38" i="17"/>
  <c r="J17" i="17"/>
  <c r="H17" i="17"/>
  <c r="F17" i="17"/>
  <c r="J18" i="17"/>
  <c r="H18" i="17"/>
  <c r="F18" i="17"/>
  <c r="J19" i="17"/>
  <c r="F19" i="17"/>
  <c r="H19" i="17"/>
  <c r="J32" i="17"/>
  <c r="H32" i="17"/>
  <c r="F32" i="17"/>
  <c r="J20" i="17"/>
  <c r="H20" i="17"/>
  <c r="F20" i="17"/>
  <c r="I4" i="16"/>
  <c r="K33" i="11"/>
  <c r="K34" i="11" s="1"/>
  <c r="K35" i="11" s="1"/>
  <c r="K36" i="11" s="1"/>
  <c r="D12" i="17"/>
  <c r="K9" i="17"/>
  <c r="K19" i="17" l="1"/>
  <c r="K20" i="17"/>
  <c r="K35" i="17"/>
  <c r="J12" i="17"/>
  <c r="H12" i="17"/>
  <c r="H42" i="17" s="1"/>
  <c r="F12" i="17"/>
  <c r="K18" i="17"/>
  <c r="K17" i="17"/>
  <c r="K38" i="17"/>
  <c r="K32" i="17"/>
  <c r="K36" i="17"/>
  <c r="K37" i="11"/>
  <c r="K38" i="11" s="1"/>
  <c r="K39" i="11" s="1"/>
  <c r="K40" i="11" s="1"/>
  <c r="K42" i="11" s="1"/>
  <c r="K43" i="11" s="1"/>
  <c r="K44" i="11" s="1"/>
  <c r="K12" i="17" l="1"/>
  <c r="I4" i="11"/>
  <c r="F42" i="17"/>
  <c r="K50" i="17"/>
  <c r="J42" i="17"/>
  <c r="K42" i="17" l="1"/>
  <c r="K43" i="17" s="1"/>
  <c r="K44" i="17" s="1"/>
  <c r="K45" i="17" s="1"/>
  <c r="K46" i="17" s="1"/>
  <c r="K47" i="17" l="1"/>
  <c r="K48" i="17" s="1"/>
  <c r="K49" i="17" s="1"/>
  <c r="K51" i="17" s="1"/>
  <c r="K52" i="17" s="1"/>
  <c r="K53" i="17" s="1"/>
  <c r="I4" i="17" l="1"/>
  <c r="G81" i="18"/>
  <c r="K81" i="18"/>
  <c r="I81" i="18"/>
  <c r="L89" i="18" s="1"/>
  <c r="L81" i="18" l="1"/>
  <c r="L82" i="18" s="1"/>
  <c r="L83" i="18" s="1"/>
  <c r="L84" i="18" s="1"/>
  <c r="L85" i="18" s="1"/>
  <c r="L86" i="18" l="1"/>
  <c r="L87" i="18" s="1"/>
  <c r="L88" i="18" s="1"/>
  <c r="L90" i="18" s="1"/>
  <c r="L91" i="18" s="1"/>
  <c r="L92" i="18" s="1"/>
  <c r="C8" i="1" s="1"/>
  <c r="C12" i="1" s="1"/>
  <c r="J3" i="18" l="1"/>
</calcChain>
</file>

<file path=xl/sharedStrings.xml><?xml version="1.0" encoding="utf-8"?>
<sst xmlns="http://schemas.openxmlformats.org/spreadsheetml/2006/main" count="1142" uniqueCount="387">
  <si>
    <t>სამუშაოების დასახელება</t>
  </si>
  <si>
    <t>განზ</t>
  </si>
  <si>
    <t>რაოდენობა</t>
  </si>
  <si>
    <t>მასალა</t>
  </si>
  <si>
    <t>ხელფასი</t>
  </si>
  <si>
    <t>მანქანა-მექანიზმები</t>
  </si>
  <si>
    <t>ჯამი</t>
  </si>
  <si>
    <t>ერთ ფასი</t>
  </si>
  <si>
    <t>მ²</t>
  </si>
  <si>
    <t>კომპ</t>
  </si>
  <si>
    <t>მ</t>
  </si>
  <si>
    <t>სხვა მასალები</t>
  </si>
  <si>
    <t>ლარი</t>
  </si>
  <si>
    <t>კგ</t>
  </si>
  <si>
    <t>სატრანსპორტო ხარჯი</t>
  </si>
  <si>
    <t>ზედნადები ხარჯი</t>
  </si>
  <si>
    <t>გეგმიური დაგროვება</t>
  </si>
  <si>
    <t xml:space="preserve">დღგ </t>
  </si>
  <si>
    <t>სულ ჯამი</t>
  </si>
  <si>
    <t>გაუთვალისწინებელი ხარჯები</t>
  </si>
  <si>
    <r>
      <rPr>
        <b/>
        <sz val="10"/>
        <color theme="1"/>
        <rFont val="Cambria"/>
        <family val="1"/>
        <charset val="204"/>
      </rPr>
      <t>l</t>
    </r>
    <r>
      <rPr>
        <b/>
        <sz val="10"/>
        <color theme="1"/>
        <rFont val="Sylfaen"/>
        <family val="1"/>
        <charset val="204"/>
      </rPr>
      <t>.   სადემონტაჟო სამუშაოები</t>
    </r>
  </si>
  <si>
    <r>
      <rPr>
        <b/>
        <sz val="10"/>
        <color theme="1"/>
        <rFont val="Cambria"/>
        <family val="1"/>
        <charset val="204"/>
      </rPr>
      <t>ll</t>
    </r>
    <r>
      <rPr>
        <b/>
        <sz val="10"/>
        <color theme="1"/>
        <rFont val="Sylfaen"/>
        <family val="1"/>
        <charset val="204"/>
      </rPr>
      <t>. სამშენებლო-სამონტაჟო სამუშაოები</t>
    </r>
  </si>
  <si>
    <t xml:space="preserve">სახარჯთაღრიცხვო  ღირ-ბა              </t>
  </si>
  <si>
    <t>ტონ</t>
  </si>
  <si>
    <t>სამშენებლო ნარჩენების შეგროვება-დატვირთვა ა/მ-ზე</t>
  </si>
  <si>
    <t>სამშენებლო ნარჩენების ტრანსპორტირება 20 კმ-ზე</t>
  </si>
  <si>
    <t>N</t>
  </si>
  <si>
    <t>ცალ</t>
  </si>
  <si>
    <t>საპენსიო დანარიცხი</t>
  </si>
  <si>
    <t xml:space="preserve">დამკვეთი: ს.ს. "ევექსის ჰოსპიტლები" </t>
  </si>
  <si>
    <t xml:space="preserve">ფითხი   </t>
  </si>
  <si>
    <t xml:space="preserve">ზუმფარა     0.009 </t>
  </si>
  <si>
    <t xml:space="preserve">კედლებზე ლამინირებული დამცავი ბამპერების მოწყობა </t>
  </si>
  <si>
    <t>ლამინირებული "დსპ"  200 მმ * 12 მმ</t>
  </si>
  <si>
    <t>თხევადი ლურსმანი 310 მლ</t>
  </si>
  <si>
    <t>ხრახნი 3 მმ</t>
  </si>
  <si>
    <t xml:space="preserve">    სამშენებლო სარემონტო სამუშაოები </t>
  </si>
  <si>
    <t xml:space="preserve">სამღებრო კუთხოვანა  </t>
  </si>
  <si>
    <t xml:space="preserve">სამღებრო ბადე ლენტა  </t>
  </si>
  <si>
    <t>სილიკონი 310 მლგ</t>
  </si>
  <si>
    <t>საიზოლაციო ლენტი იატაკის პროფილზე</t>
  </si>
  <si>
    <t>საღებავი წმენდადი  RAL 9003 (დამკვეთთან შეთანხმება)</t>
  </si>
  <si>
    <t>საღებავის გრუნტი</t>
  </si>
  <si>
    <t xml:space="preserve">თაბ.მუყ. ნესტგამძლე ფილა </t>
  </si>
  <si>
    <t>2022 წლის 9 სექტემბერი</t>
  </si>
  <si>
    <t>ქუთაისი, ოცხელის ქ. № 2 რეფერალური ჰოსპიტალი</t>
  </si>
  <si>
    <t>2022 წლის  9 სექტემბერი</t>
  </si>
  <si>
    <t>კედლის ფენილების გასუფთავება</t>
  </si>
  <si>
    <t>საოპერაციო კარების დემონტაჟი</t>
  </si>
  <si>
    <t xml:space="preserve">  V სართული                                                                                                </t>
  </si>
  <si>
    <t xml:space="preserve">ტიხრებისა და კედლების დამუშავება/შეღებვა </t>
  </si>
  <si>
    <t>საღებავი წმენდადი, ანტიბაქტერიული</t>
  </si>
  <si>
    <t>ჰერმეტული კარი ზომებით 210x150 (დიდი ზომის)</t>
  </si>
  <si>
    <t>ჰერმეტული კარი ზომებით 210x100 (მცირე ზომის)</t>
  </si>
  <si>
    <t>ალუმინის 25x25x0.7 მმ კუთხოვანა</t>
  </si>
  <si>
    <r>
      <t xml:space="preserve">ტიხრების წიბოების დამცავი ალუმინის 25x25x0.7 მმ კუთხოვანას მოწყობა </t>
    </r>
    <r>
      <rPr>
        <sz val="10"/>
        <color theme="1"/>
        <rFont val="Sylfaen"/>
        <family val="1"/>
      </rPr>
      <t>(70 სმ. სიმაღლეზე)</t>
    </r>
  </si>
  <si>
    <t>ბოქსირებული პალატის ლამინირებული PVC მდფ  (სამედიცინო სფეროსათვის განკუთვნილი) კარის ბლოკის ნაწილობრივი დამუშავება/შეღებვა</t>
  </si>
  <si>
    <t xml:space="preserve">საოპერაციოში დამონტაჟებული ონკანის ჩამრთველის </t>
  </si>
  <si>
    <t>პლასტიკატის ჭერის დემონტაჟი პალატების საპირფარეშოებში</t>
  </si>
  <si>
    <t xml:space="preserve">IV სართული                                                                                          </t>
  </si>
  <si>
    <t>კედლის ფენილების გასუფთავება დერეფანსა და ზოგიერთ პალატაში</t>
  </si>
  <si>
    <t>პლასტიკატის ჭერის მონტაჟი პალატების საპირფარეშოებში</t>
  </si>
  <si>
    <t>პლასტიკატის ფილა</t>
  </si>
  <si>
    <t>პლასტიკატის ჭერის P პროფილი</t>
  </si>
  <si>
    <t>ხრახნი</t>
  </si>
  <si>
    <t xml:space="preserve">კედლების დამუშავება/შეღებვა </t>
  </si>
  <si>
    <t>ბოქსირებული პალატის მოწყობა 309 ოთახში</t>
  </si>
  <si>
    <t xml:space="preserve"> III სართული                                                                                       </t>
  </si>
  <si>
    <t xml:space="preserve">II სართული                                                                                          </t>
  </si>
  <si>
    <t>სამშენებლო ნარჩენების შეგროვება-დატვირთვა ა/მ-ზე და ტრანსპორტირება 15 კმ-ზე</t>
  </si>
  <si>
    <t xml:space="preserve">საღებავი ლითონის ანტიბაქტერიული </t>
  </si>
  <si>
    <t>ლითონის კარის ზედაპირების გასუფთავება/დამუშავება/შეღებვა</t>
  </si>
  <si>
    <t xml:space="preserve">ზუმფარა     </t>
  </si>
  <si>
    <t xml:space="preserve"> სამშენებლო-სამონტაჟო სამუშაოები</t>
  </si>
  <si>
    <r>
      <t>მ</t>
    </r>
    <r>
      <rPr>
        <sz val="8"/>
        <color theme="1"/>
        <rFont val="Cambria"/>
        <family val="1"/>
        <charset val="204"/>
      </rPr>
      <t>²</t>
    </r>
  </si>
  <si>
    <r>
      <t>მ</t>
    </r>
    <r>
      <rPr>
        <sz val="8"/>
        <color theme="1"/>
        <rFont val="Sylfaen"/>
        <family val="1"/>
      </rPr>
      <t>³</t>
    </r>
  </si>
  <si>
    <t>წმენდადი, ანტიბაქტერული ჰერმეტული კარების მონტაჟი საოპერაციოებში</t>
  </si>
  <si>
    <t>სამშენებლო ნარჩენების შეგროვება-დატვირთვა ა/მ-ზე სამშენებლო ნარჩენების ტრანსპორტირება 20 კმ-ზე</t>
  </si>
  <si>
    <t>თ/მუყაოს მოპირკეთება და ჭერის მოწყობა</t>
  </si>
  <si>
    <t xml:space="preserve">თაბ.მუყ. ფილა </t>
  </si>
  <si>
    <t>პროფილები დგარის CW 75*0,5 მმ, მიმმართვ. UW75*0,5; ხრახნები, გამჭედი დუბელი და სხვა მასალები 1მ² ტიხარზე</t>
  </si>
  <si>
    <t>პროფილი CD 27/60/27/0.50; UD 0.50 და  ხრახნები, გამჭედი დუბელი და სხვა მასალები 1მ² მოპირკეთებაზე</t>
  </si>
  <si>
    <t>საიზოლაციო მასალა  ქვაბამბა 50 მმ</t>
  </si>
  <si>
    <t xml:space="preserve">ტიხრების, კედლებისა და ჭერის დამუშავება-შეღებვა </t>
  </si>
  <si>
    <t>თ/მუყაოს ტიხრის მოწყობა</t>
  </si>
  <si>
    <t>თ/მუყაოს ჭერის მოწყობა</t>
  </si>
  <si>
    <t xml:space="preserve">თ/მ-ს ფილა </t>
  </si>
  <si>
    <t>არსებული მდფ-ის კარის ბლოკების დემონტაჟი</t>
  </si>
  <si>
    <r>
      <rPr>
        <b/>
        <sz val="10"/>
        <color theme="1"/>
        <rFont val="Cambria"/>
        <family val="1"/>
        <charset val="204"/>
      </rPr>
      <t>l</t>
    </r>
    <r>
      <rPr>
        <b/>
        <sz val="10"/>
        <color theme="1"/>
        <rFont val="Sylfaen"/>
        <family val="1"/>
        <charset val="204"/>
      </rPr>
      <t>.  სადემონტაჟო სამუშაოები</t>
    </r>
  </si>
  <si>
    <r>
      <rPr>
        <b/>
        <sz val="10"/>
        <color theme="1"/>
        <rFont val="Cambria"/>
        <family val="1"/>
        <charset val="204"/>
      </rPr>
      <t>ll</t>
    </r>
    <r>
      <rPr>
        <b/>
        <sz val="10"/>
        <color theme="1"/>
        <rFont val="Sylfaen"/>
        <family val="1"/>
        <charset val="204"/>
      </rPr>
      <t>. აღდგენითი სამუშაოები</t>
    </r>
  </si>
  <si>
    <t xml:space="preserve">ზუმფარა  0.009 </t>
  </si>
  <si>
    <t>გრუნტი საღებავის</t>
  </si>
  <si>
    <t>ვინილის იატაკების დემონტაჟი</t>
  </si>
  <si>
    <t>ივ. ბოკერიას სახელობის საუნივერსიტეტო ჰოსპიტალი</t>
  </si>
  <si>
    <t>თაბ.მუყ. ტიხრების დემონტაჟი კარის ღიობებში</t>
  </si>
  <si>
    <t>თაბ.მუყ. ჭერის დემონტაჟი საოპერაციოში</t>
  </si>
  <si>
    <t>ამსტროგის ჭერის დემონტაჟი</t>
  </si>
  <si>
    <t xml:space="preserve"> VI სართული საოპერაციო სივრცის სარემონტო სამუშაოები                                                                            </t>
  </si>
  <si>
    <t>ელ.ჩამრთველებისა და როზეტების დემონტაჟი</t>
  </si>
  <si>
    <t>წერტ</t>
  </si>
  <si>
    <t>ქვიშაცემნეტის მჭიმის ნაწილობრივი დემონტაჟი</t>
  </si>
  <si>
    <t>მ³</t>
  </si>
  <si>
    <t>ტნ</t>
  </si>
  <si>
    <t>პროფილი ჰორიზონტის (მაიაკი)</t>
  </si>
  <si>
    <t>გრუნტი (თვითსწორებდზე)</t>
  </si>
  <si>
    <t>ძაფი პოლივინილქლორიდის</t>
  </si>
  <si>
    <t xml:space="preserve">ვინილის წებო უზინი ან მსგავსი    </t>
  </si>
  <si>
    <t xml:space="preserve">წებო ბიზონკიტი ან მსგავსი </t>
  </si>
  <si>
    <t>წებო გრაფიტის (ანტისტატიკური ვინილისათვის)</t>
  </si>
  <si>
    <t xml:space="preserve">იატაკის დამუშავება თვითსწორებადი ხსნარით   </t>
  </si>
  <si>
    <t xml:space="preserve">ქვიშა   (მასალის აზიდვით)                </t>
  </si>
  <si>
    <t xml:space="preserve">ცემენტი   (მასალის აზიდვით) </t>
  </si>
  <si>
    <r>
      <t>ვინილის  იატაკების  მოწყობა</t>
    </r>
    <r>
      <rPr>
        <sz val="10"/>
        <color theme="1"/>
        <rFont val="Sylfaen"/>
        <family val="1"/>
      </rPr>
      <t xml:space="preserve"> (პლინტუსის ჩათვლით)</t>
    </r>
  </si>
  <si>
    <t xml:space="preserve">თაბ.მუყ. ფილა  ჩვეულებრივი სისქე 12.5მმ   </t>
  </si>
  <si>
    <t xml:space="preserve">თაბ.მუყ. ფილა  ნესტგამძლე სისქე 12.5მმ   </t>
  </si>
  <si>
    <t>ხის ძელაკების 50 x 50მმ</t>
  </si>
  <si>
    <t xml:space="preserve">ჭერის მოწყობა თაბაშირ მუყაოს  ფილებით </t>
  </si>
  <si>
    <t>პროფილები ჭერის  მიმმართვ.  სწრაფმონტირებადი ხრახნები TN25, TN35, გამჭედი დუბელი და სხვა მასალები 1მ² ჭერზე</t>
  </si>
  <si>
    <t>პროფილები დგარის CW 75*0,5 მმ, მიმმართვ. UW75*0,5; სწრაფმონტირებადი ხრახნები TN25 და TN35, გამჭედი დუბელი და სხვა მასალები 1მ² ტიხარზე</t>
  </si>
  <si>
    <t>კედლებისა და ჭერის დამუშავება-შეღებვა</t>
  </si>
  <si>
    <t xml:space="preserve">თ/მუყაოს ფილების მოწყობა ფანჯრებზე </t>
  </si>
  <si>
    <t>არაკალი სხივამრეკლი</t>
  </si>
  <si>
    <t xml:space="preserve">ქაფპლასის ფილები 5 სმ სისქით </t>
  </si>
  <si>
    <r>
      <t xml:space="preserve">ალუმინის კარის ბლოკები ელექტრო გამღებით ან სენსორებით </t>
    </r>
    <r>
      <rPr>
        <sz val="10"/>
        <color theme="1"/>
        <rFont val="Sylfaen"/>
        <family val="1"/>
      </rPr>
      <t>(დაკვეთთან შეთანხმებით)</t>
    </r>
  </si>
  <si>
    <t>კაფელი (დამკვეთთან შეთანხმება)</t>
  </si>
  <si>
    <t>წებოცემენტი</t>
  </si>
  <si>
    <t>სამონაჟო პლასტიკ აქსესუარი</t>
  </si>
  <si>
    <t xml:space="preserve">თაბ.მუყაოს ტიხრის მოწყობა ბგერათბო იზოლაციით </t>
  </si>
  <si>
    <r>
      <t xml:space="preserve">თაბაშირ მუყაოს ჭერზე ჩასამონტაჟებელი ლედსანათების მონტაჟი </t>
    </r>
    <r>
      <rPr>
        <sz val="10"/>
        <color theme="1"/>
        <rFont val="Sylfaen"/>
        <family val="1"/>
      </rPr>
      <t>(შეთანმხდეს დამკვეთთან)</t>
    </r>
  </si>
  <si>
    <t>ელ.ჩამრთველებისა და როზეტების მონტაჟი</t>
  </si>
  <si>
    <t>სპილენძის ძარღვიანი კაბელი, ორმაგი არაალებადი იზოლაციის, კვეთით 3X1,5 მმ² გოფრირებულ მილში გატარებით</t>
  </si>
  <si>
    <t>გრძ.მ.</t>
  </si>
  <si>
    <t>იგივე 3X2,5 მმ²  გოფრირებულ მილში გატარებით</t>
  </si>
  <si>
    <t>გრძ..მ</t>
  </si>
  <si>
    <t>ელექტრო გამანაწილებლი კოლოფები</t>
  </si>
  <si>
    <t>ცალი</t>
  </si>
  <si>
    <t>გოფრირებული პლასტმასის მილები</t>
  </si>
  <si>
    <t>შრომის დანახარჯები</t>
  </si>
  <si>
    <t>კომპლ</t>
  </si>
  <si>
    <t>მანქანები</t>
  </si>
  <si>
    <t>უნიტაზის მონტაჟი ჩამრეცხით  არკოს ტიპის ონკანით, დრეკადი მილით კომპლექტში</t>
  </si>
  <si>
    <t>ხელსაბანი ნიჟარის მონტაჟი, არკოს კრანებით,  შემრევით, დრეკადი მილებით, სიფონით  კომპლექტში (დამკვეთთან შეთანხმებით)</t>
  </si>
  <si>
    <t>კედლისა და იატაკის მპირკეთება კერამიკული ფილებით</t>
  </si>
  <si>
    <t>გრძ.მ</t>
  </si>
  <si>
    <t xml:space="preserve">გამწოვი დ=150მმ ვენტილატორის მონტაჟი სან კვანძებში დ=150მმ </t>
  </si>
  <si>
    <t>დ=150მმ პლასტმასის ჰაერსატარების მონტაჟი</t>
  </si>
  <si>
    <t xml:space="preserve">თბოიზოლირებული მოქნილი აირსატარი Ø150  </t>
  </si>
  <si>
    <r>
      <t xml:space="preserve">გამწოვის სავენტილაციო ცხაურების მონტაჟი ამსტრონგის შეკიდულ ჭერში (0.2 </t>
    </r>
    <r>
      <rPr>
        <b/>
        <sz val="10"/>
        <color theme="1"/>
        <rFont val="Arial"/>
        <family val="2"/>
        <charset val="204"/>
      </rPr>
      <t>×</t>
    </r>
    <r>
      <rPr>
        <b/>
        <sz val="10"/>
        <color theme="1"/>
        <rFont val="Sylfaen"/>
        <family val="1"/>
        <charset val="204"/>
      </rPr>
      <t xml:space="preserve"> 0.3)მ</t>
    </r>
  </si>
  <si>
    <t>2023 წლის 2 მარტი</t>
  </si>
  <si>
    <t xml:space="preserve">  </t>
  </si>
  <si>
    <t>სახარჯთაღრიცხვო  ღირ-ბა</t>
  </si>
  <si>
    <t>ნორმატიული რესურსი</t>
  </si>
  <si>
    <t xml:space="preserve">არმსტრონგის (60x60)სმ სანათების დემონტაჟი  </t>
  </si>
  <si>
    <t>ც</t>
  </si>
  <si>
    <t>1. იატაკები</t>
  </si>
  <si>
    <t xml:space="preserve">ქვიშა-ცემენტის მჭიმის მოწყობა იატაკებზე სისქე 4სმ მარკით M100 </t>
  </si>
  <si>
    <t xml:space="preserve">ქვიშა                 </t>
  </si>
  <si>
    <t xml:space="preserve">ცემენტი  M400      </t>
  </si>
  <si>
    <t>ორკომპონენტიანი ჰიდროსაიზოლაციო მასალა</t>
  </si>
  <si>
    <r>
      <t xml:space="preserve">წებოცემენტი      </t>
    </r>
    <r>
      <rPr>
        <sz val="10"/>
        <color rgb="FFFF0000"/>
        <rFont val="Sylfaen"/>
        <family val="1"/>
        <charset val="204"/>
      </rPr>
      <t xml:space="preserve"> </t>
    </r>
  </si>
  <si>
    <t>სამონტაჟო მაკომპლექტებელი პლასტმასის</t>
  </si>
  <si>
    <t xml:space="preserve">ფუგა   </t>
  </si>
  <si>
    <t xml:space="preserve">იატაკის დამუშავება თვითგამასწორებელი ხსნარით   </t>
  </si>
  <si>
    <t>2. ტიხრები და კედლები</t>
  </si>
  <si>
    <t xml:space="preserve">თაბ.მუყ. ფილა  ჩვეულებრივი სისქე 12.5მმ  </t>
  </si>
  <si>
    <t xml:space="preserve">თაბ.მუყ. ფილა  ნესტგამძლე სისქე 12.5მმ  </t>
  </si>
  <si>
    <t>პროფილები დგარის CW 75*0,5 მმ, მიმმართვ. UW75*0,5; სწრაფმონტირებადი რახნები TN25 და TN35, გამჭედი დუბელი და სხვა მასალები 1მ² ტიხარზე</t>
  </si>
  <si>
    <t>პროექტ</t>
  </si>
  <si>
    <t>პროფილები დგარის CD 75*0,5 მმ, მიმმართვ. UD75*0,5; სწრაფმონტირებადი რახნები TN25 და TN35, გამჭედი დუბელი და სხვა მასალები 1მ² ტიხარზე</t>
  </si>
  <si>
    <t xml:space="preserve">წებოცემენტი   </t>
  </si>
  <si>
    <t xml:space="preserve">ფუგა     </t>
  </si>
  <si>
    <t>ფილების სამონტაჟო დეტალები პლასტიკატის</t>
  </si>
  <si>
    <t>სხვა დამხმარე მასალები</t>
  </si>
  <si>
    <t>სამონტაჟო ქაფი 800-1000გრ</t>
  </si>
  <si>
    <t>5. სამღებრო სამუშაოები</t>
  </si>
  <si>
    <t xml:space="preserve">საღებავის გრუნტი, </t>
  </si>
  <si>
    <t>სამღებრო  წებვადი ლენტი (ქაღალდის სკოჩი)  50.0მ</t>
  </si>
  <si>
    <t xml:space="preserve">სხვა მასალები   </t>
  </si>
  <si>
    <t>6. სანტექნიკური სამუშაოები</t>
  </si>
  <si>
    <t>ტრაპი   დ50მმ</t>
  </si>
  <si>
    <t>კანალიზაციის პლასტმასის მილის  დ50მმ</t>
  </si>
  <si>
    <t>კანალიზაციის პლასტმასის მილის  დ110მმ</t>
  </si>
  <si>
    <t>ფასონური ნაწილები</t>
  </si>
  <si>
    <t>პლასტმასის მუხლი დ100 მმ</t>
  </si>
  <si>
    <t>პლასტმასის მუხლი დ50 მმ</t>
  </si>
  <si>
    <r>
      <t>პლასტმასის სამკაპი   90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Sylfaen"/>
        <family val="1"/>
        <charset val="204"/>
      </rPr>
      <t xml:space="preserve">        დ50/50 მმ</t>
    </r>
  </si>
  <si>
    <r>
      <t>პლასტმასის სამკაპი   45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Sylfaen"/>
        <family val="1"/>
        <charset val="204"/>
      </rPr>
      <t xml:space="preserve">       დ50/50 მმ</t>
    </r>
  </si>
  <si>
    <t>პლასტმასის სამაგრი დ100</t>
  </si>
  <si>
    <t>პლასტმასის სამაგრი დ50</t>
  </si>
  <si>
    <t>წყალგაყვანილობის დ 20 მმ. (ცივი და ცხელი წყლის მილების მონტაჟი)  ფასონური დელატებით</t>
  </si>
  <si>
    <t xml:space="preserve">პოლიპროპილენის  დ20მმ     </t>
  </si>
  <si>
    <t>წყალგაყვანილობის დ 25 მმ. (ცივი და ცხელი წყლის მილების მონტაჟი) ფასონური დელატებით</t>
  </si>
  <si>
    <t xml:space="preserve">პოლიპროპილენის  დ25მმ    </t>
  </si>
  <si>
    <t>პლასტმასის სამკაპი  დ25/25</t>
  </si>
  <si>
    <t>პლასტმასის სამკაპი  დ25/20</t>
  </si>
  <si>
    <t>პლასტმასის სამკაპი  დ20/20</t>
  </si>
  <si>
    <t>პლასტმასის მუხლი დ25</t>
  </si>
  <si>
    <t>პლასტმასის მუხლი დ20</t>
  </si>
  <si>
    <t>პლასტმასის გადამყვანი  დ25/20</t>
  </si>
  <si>
    <t>ვენტილი დ25</t>
  </si>
  <si>
    <t>ვენტილი დ20</t>
  </si>
  <si>
    <t>7. ელ. სამონტაჟო სამუშაოები</t>
  </si>
  <si>
    <t>სამისამართო ოპტიკური კვამლმაუწყებელი</t>
  </si>
  <si>
    <t>სახანძრო სპეციალური კაბელი</t>
  </si>
  <si>
    <t>გრ.მ</t>
  </si>
  <si>
    <t xml:space="preserve">ი. ბოკერიას სახელობის  თბილისის რეფერალური ჰოსპიტლში ჩასატარებელი  სამუშაოების                                                                                       </t>
  </si>
  <si>
    <t>ტრაპი</t>
  </si>
  <si>
    <t>ქ. თბილისი     ქინძმარაულის ქ. №1.   ი. ბოკერიას სახელობის  თბილისის რეფერალური ჰოსპიტალი</t>
  </si>
  <si>
    <t xml:space="preserve">ი. ბოკერიას სახელობის  თბილისის რეფერალური ჰოსპიტლის შენობაში VI სართულზე რეანიმაციულ განყოფილებაში ჩასატარებელი  სამუშაოების   ხარჯთაღრიცხვა                                                                                    </t>
  </si>
  <si>
    <t>მარტი 2023წ.</t>
  </si>
  <si>
    <t>შდგენილია СНиП IV-2-82 და სამშენებლო რესურსების ფასთა კრებულის 2023წ I კვარტლის საფუძველზე</t>
  </si>
  <si>
    <t xml:space="preserve">მოსამზადებელი სამუშაოები </t>
  </si>
  <si>
    <t>VI სართულიდან სამშენებლო ნაგვის ჩამოსატანად და სამშენებლო მასალების ასატანად ელ ამძრავიანი ამწე მექანიზმის  (,,პიონერი'') მონტაჟი, ექსპლოატაცია  და სამუშაოების დასრულების შემდეგ დემონტაჟი</t>
  </si>
  <si>
    <t>სარემონტო ფლიგელის კორიდორში  დროებითი გამყოფი კედლის მოწყობა ერთმაგი თბაშირ/მუყაოს ფილებით და ცელოფნით (არასარემონტო ფართის დაცვის მიზნით) 3-ჯერადად მონტაჟი-დემონტაჟით სახადასხვა ფლიგელებში</t>
  </si>
  <si>
    <r>
      <t>მ</t>
    </r>
    <r>
      <rPr>
        <b/>
        <sz val="10"/>
        <color theme="1"/>
        <rFont val="Calibri"/>
        <family val="2"/>
        <charset val="204"/>
      </rPr>
      <t>²</t>
    </r>
  </si>
  <si>
    <r>
      <t>მ</t>
    </r>
    <r>
      <rPr>
        <sz val="10"/>
        <color theme="1"/>
        <rFont val="Calibri"/>
        <family val="2"/>
        <charset val="204"/>
      </rPr>
      <t>²</t>
    </r>
  </si>
  <si>
    <t xml:space="preserve">ცელოფანი </t>
  </si>
  <si>
    <t xml:space="preserve"> სადემონტაჟო სამუშაოები </t>
  </si>
  <si>
    <r>
      <t>მდფ-ის კარის ბლოკების დემონტაჟი (1.5</t>
    </r>
    <r>
      <rPr>
        <sz val="10"/>
        <color theme="1"/>
        <rFont val="Calibri"/>
        <family val="2"/>
        <charset val="204"/>
      </rPr>
      <t>x</t>
    </r>
    <r>
      <rPr>
        <sz val="10"/>
        <color theme="1"/>
        <rFont val="Sylfaen"/>
        <family val="1"/>
        <charset val="204"/>
      </rPr>
      <t xml:space="preserve"> 2.15)მ - 17ცალი, (1.3x 2.15)მ - 2ცალი,  (0.9x 2.15)მ - 4ცალი,</t>
    </r>
  </si>
  <si>
    <t>მეტალო პლასტმასის კარის ბლოკების დემონტაჟი   (0.9x 2.15)მ - 16ცალი,</t>
  </si>
  <si>
    <t>სახანძრო სიგნალიზაციის სისტემის დემონტაჟი</t>
  </si>
  <si>
    <t>სისტ</t>
  </si>
  <si>
    <t xml:space="preserve">ჭერში გათბობა-გაგრილების სისტემის დრეკადი მილებისა და ცხაურების დემონტაჟი </t>
  </si>
  <si>
    <t>სან/კვანძებში დ=100მმ გამწოვი ვენტილატორების დემონტაჟი</t>
  </si>
  <si>
    <t xml:space="preserve">არმსტრონგის ჭერის დემონტაჟი ლითონის კარკასის დაშლით </t>
  </si>
  <si>
    <t xml:space="preserve">სნ/კვანძებში პლასტიკატის შეკიდული ჭერის ჩამოხსნა კარკასის დაშლით </t>
  </si>
  <si>
    <t xml:space="preserve">სან/კვანძებში ჭერში ჩაფლული დ=200მმ  სანათების დემონტაჟი  </t>
  </si>
  <si>
    <t>ელგაყვაანილობის კაბელების ჩახსნა და დემონტაჟი სხვადასხვა კვეთის</t>
  </si>
  <si>
    <t>ელ. ჩამრთველების დემონტაჟი</t>
  </si>
  <si>
    <t>ელ. როზეტების დემონტაჟი</t>
  </si>
  <si>
    <t>ხელსაბანების დემონტაჟი  სან/კვანძებში</t>
  </si>
  <si>
    <t xml:space="preserve">უნიტაზების  დემონტაჟი  </t>
  </si>
  <si>
    <t xml:space="preserve">საშხაპე ქვედების   დემონტაჟი  </t>
  </si>
  <si>
    <t xml:space="preserve">ტრაპების   დემონტაჟი  </t>
  </si>
  <si>
    <t>კედლებიდან კაფელის ფილების მოხსნა სან/კვანძებში</t>
  </si>
  <si>
    <t>საკანალიზაციო მილების დემონტაჟი  დ50მმ-</t>
  </si>
  <si>
    <t>საკანალიზაციო მილების დემონტაჟი  დ100მმ-</t>
  </si>
  <si>
    <t>წყალგაყვანილობის მილების ჩაჭრა და დემონტაჟი და დახშობა   დ=20მმ- 62.0მ,   დ=25მმ - 25.0მ</t>
  </si>
  <si>
    <r>
      <t>თაბაშირ მუყაოს ტიხრების დემონტაჟი ლითონის კარკასის დაშლით (მათ შორის 0.9</t>
    </r>
    <r>
      <rPr>
        <sz val="10"/>
        <color theme="1"/>
        <rFont val="Calibri"/>
        <family val="2"/>
        <charset val="204"/>
      </rPr>
      <t>x</t>
    </r>
    <r>
      <rPr>
        <sz val="8.5"/>
        <color theme="1"/>
        <rFont val="Sylfaen"/>
        <family val="1"/>
        <charset val="204"/>
      </rPr>
      <t>2.15მ -2 ცალი კარის ღიობის გამოჭრა ჩასარეცხისოთახზე)</t>
    </r>
  </si>
  <si>
    <t>კედლებიდან თაბაშირ მუყაოს შემოსვის ჩამოხსნა ტიხრების მიერთების ადგილებზე,  სან/კვანძებში დაზიანებულ ადგილებზე</t>
  </si>
  <si>
    <r>
      <t>იატაკიდან ვინილის საფარის მოხსნა პლინტუსების ჩათვლით (659.0*1.1)მ</t>
    </r>
    <r>
      <rPr>
        <sz val="10"/>
        <color theme="1"/>
        <rFont val="Calibri"/>
        <family val="2"/>
        <charset val="204"/>
      </rPr>
      <t>²</t>
    </r>
  </si>
  <si>
    <t>იატაკიდან მეთლახის ფილების აყრა სან/რვანძების ადგილზე</t>
  </si>
  <si>
    <t>ქვიშა-ცემენტის მჭიმის დემონტაჟი და იატაკის გასუფთავება (ნაწილობრივ დაზიანებულ ადგილებზე)</t>
  </si>
  <si>
    <t>სამშენებლო ნაგვისა და დემონტირებული კონსტრუქციების გამოტანა შენობიდან  და დატვირთვა ა/მანქანაზე</t>
  </si>
  <si>
    <r>
      <t>მ</t>
    </r>
    <r>
      <rPr>
        <sz val="10"/>
        <color theme="1"/>
        <rFont val="Calibri"/>
        <family val="2"/>
        <charset val="204"/>
      </rPr>
      <t>³</t>
    </r>
  </si>
  <si>
    <t xml:space="preserve">სამშენებლო ნაგვის ჩამოტანა, ა/მანქანაზე დატვირთვა და გატანა ნაგავსაყრელზე 20 კმ-მდე მანძილზე </t>
  </si>
  <si>
    <t xml:space="preserve"> სამონტაჟო სამუშაოები</t>
  </si>
  <si>
    <t>ჰიდრიოზოლაციის მოწყობა ორკომპონენტიანი ჰიდროსაიზოლაციო მასალით ნარჩენების ოთახებში</t>
  </si>
  <si>
    <t>იატაკზე მეთლახის  ფილების დაგება   ნარჩენების ოთახებში</t>
  </si>
  <si>
    <t xml:space="preserve">მეთლახის ფილა      </t>
  </si>
  <si>
    <r>
      <t>ვინილის  საფარის  მოწყობა იატაკებზე  20სმ-ზე  კედლებზე ასვლით (პლინტუსი 20.0სმ)  (700*1.15)მ</t>
    </r>
    <r>
      <rPr>
        <b/>
        <sz val="10"/>
        <color theme="1"/>
        <rFont val="Calibri"/>
        <family val="2"/>
        <charset val="204"/>
      </rPr>
      <t>²</t>
    </r>
  </si>
  <si>
    <r>
      <t>კომბინირებული თაბაშირ მუყაოს ტიხრის მოწყობა იზოლაციით ნარჩენების ოთახების მომიჯნავე კედლები (მათ შორის (1.5</t>
    </r>
    <r>
      <rPr>
        <b/>
        <sz val="10"/>
        <color theme="1"/>
        <rFont val="Calibri"/>
        <family val="2"/>
        <charset val="204"/>
      </rPr>
      <t>x</t>
    </r>
    <r>
      <rPr>
        <b/>
        <sz val="8.5"/>
        <color theme="1"/>
        <rFont val="Sylfaen"/>
        <family val="1"/>
        <charset val="204"/>
      </rPr>
      <t>2.15)მ-1ც,   კარის ღიობის ამოქოლვით ჩასარეცხის ოთახზე)</t>
    </r>
  </si>
  <si>
    <t xml:space="preserve">ჩვეულებრივი თაბაშირ მუყაოს ტიხრის მოწყობა იზოლაციით (მათ შორის   (1.25x2.15)მ-1ც,  (0.9x2.15)მ-1ც კარების ღიობის ამოქოლვით) </t>
  </si>
  <si>
    <r>
      <t>კედლების შემოსვა თაბაშირ მუყაოს  ფილებით</t>
    </r>
    <r>
      <rPr>
        <b/>
        <sz val="10"/>
        <color theme="1"/>
        <rFont val="Sylfaen"/>
        <family val="1"/>
        <charset val="204"/>
      </rPr>
      <t xml:space="preserve">  </t>
    </r>
    <r>
      <rPr>
        <b/>
        <sz val="10"/>
        <color theme="1"/>
        <rFont val="Sylfaen"/>
        <family val="1"/>
        <charset val="204"/>
      </rPr>
      <t xml:space="preserve"> </t>
    </r>
  </si>
  <si>
    <r>
      <t>თაბ.მუყ. ფილა  ჩვეულებრივი სისქე 12.5მმ     26.0მ</t>
    </r>
    <r>
      <rPr>
        <sz val="10"/>
        <rFont val="Calibri"/>
        <family val="2"/>
        <charset val="204"/>
      </rPr>
      <t>²x</t>
    </r>
    <r>
      <rPr>
        <sz val="10"/>
        <rFont val="Sylfaen"/>
        <family val="1"/>
      </rPr>
      <t>1.05</t>
    </r>
  </si>
  <si>
    <t>თაბ.მუყ. ფილა  ნესტგამძლე სისქე 12.5მმ         22.0მ²x1.05 (სან/კვანძებში)</t>
  </si>
  <si>
    <t>კაფელის მოწყობა კედლებზე ხელსაბანი ნიჟარების ფართუკი-5 ცალი და ნარჩენების ოთახებში</t>
  </si>
  <si>
    <t xml:space="preserve">კერამიკული ფილა კაფელი  RAL 9003,  </t>
  </si>
  <si>
    <t>პლასტიკატის სპეციალური კედლის დამცავი ფილა</t>
  </si>
  <si>
    <t>3. კარები</t>
  </si>
  <si>
    <t xml:space="preserve">ხის ფაქტურიანი (ფერი შეთანხმდეს დამკვეთთან) მეტალოპლასტმასის კარის ბლოკის მონტაჟი  ნარჩენების ოთახებზე  (0.9X2.15)მ -  2ცალი </t>
  </si>
  <si>
    <t>მეტალოპლასტმასის კარის ბლოკი (ხის ფაქტურიანი (ფერი შეთანხმდეს დამკვეთთან)  (0.9X2.15)მ</t>
  </si>
  <si>
    <t>4. ჭერები</t>
  </si>
  <si>
    <t>თაბაშირ მუყაოს შეკიდული ჭერის მოწყობა  პალატებში, კორიდორებში და ნარჩენების ოთახებში</t>
  </si>
  <si>
    <t>თაბ.მუყ. ფილა  ჩვეულებრივი სისქე 12.5მმ    1.05</t>
  </si>
  <si>
    <t xml:space="preserve">ჭერის ლითონის  UD 75*0,5 მმ, მიმმართვ. CD75*0,5 პროფილები, საკიდები,  სწრაფმონტირებადი ხრახნები, დუბელი და სხვა მასალები 1მ² </t>
  </si>
  <si>
    <t>სხვა მასალები   0.1</t>
  </si>
  <si>
    <t>კედლების დამუშავება და შეღებვა სილიკონური რეცხვადი ანტიბაქტერიული საღებავით</t>
  </si>
  <si>
    <t>თაბაშირ/მუყაოს შეკიდული ჭერის დამუშავება და შეღებვა სილიკონური რეცხვადი ანტიბაქტერიული საღებავით</t>
  </si>
  <si>
    <t>ხელსაბანი ნიჟარის მონტაჟი, არკოს კრანებით,  შემრევით, დრეკადი მილებით, სიფონით  კომპლექტში</t>
  </si>
  <si>
    <t>ხელსაბანი ნიჟარა არკოს კრანებით,  შემრევით, დრეკადი მილებით, სიფონით  კომპლექტში</t>
  </si>
  <si>
    <t>ნარჩენების ოთახებში  უჟანგავი ფოლადის სპეციალური ნიჟარის (ჩანის) მონტაჟი, არკოს კრანებით,  შემრევით, დრეკადი მილებით, სიფონით  კომპლექტში</t>
  </si>
  <si>
    <t xml:space="preserve"> დ 50 მმ.  ტრაპის მონტაჟი ნარჩენების  ოთახებში </t>
  </si>
  <si>
    <t>კანალიზაციის დ 50 მმ. მილების მონტაჟი  ფასონური დელატებით</t>
  </si>
  <si>
    <t>კანალიზაციის დ 100 მმ. მილების მონტაჟი  ფასონური დელატებით</t>
  </si>
  <si>
    <r>
      <t>პლასტმასის სამკაპი   90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Sylfaen"/>
        <family val="1"/>
        <charset val="204"/>
      </rPr>
      <t xml:space="preserve">        დ100/100 მმ</t>
    </r>
  </si>
  <si>
    <r>
      <t>პლასტმასის სამკაპი   90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Sylfaen"/>
        <family val="1"/>
        <charset val="204"/>
      </rPr>
      <t xml:space="preserve">       დ100/50 მმ</t>
    </r>
  </si>
  <si>
    <t>ლ</t>
  </si>
  <si>
    <t>LED სანათი   36 ვტ მონტაჟი კორიდორებში და  პალატებში თაბაშირ/მუყაოს ჭერში</t>
  </si>
  <si>
    <t>LED სანათი   24 ვტ მონტაჟი  ჰერმეტული, ნესტგამძლე (ნარჩენების ოთახებში)</t>
  </si>
  <si>
    <t>ელექტრო როზეტი ერთპოლუსიანი დამიწების კონტაქტით</t>
  </si>
  <si>
    <t>ელექტრო როზეტი ორპოლუსიანი დამიწების კონტაქტით</t>
  </si>
  <si>
    <t>ჩამრთველი ერთკლავიშა</t>
  </si>
  <si>
    <t>ჩამრთველი ორკლავიშა</t>
  </si>
  <si>
    <t>ელ. გამანაწილებლი ფარი, ინდივიდუალური ანაკრეფი,დაცვის კლასით IP30 კომპლექტსი ავტომატებით კომპლექტში</t>
  </si>
  <si>
    <t>გოფრირებული არაალებადი პლასტმასის მილები</t>
  </si>
  <si>
    <t>8. სუსტი დენები (სახანძრო,კომპიუტერული ქსელი)</t>
  </si>
  <si>
    <t>სახანძრო საგანგაშო ღილაკი</t>
  </si>
  <si>
    <t>აკუსტიკური სიგნალიზატორი შუქფარით</t>
  </si>
  <si>
    <t>ვიდეოსათვალთვალო შიგა დაყენების IP ქსელური კამერის მონტაჟი და ჩართვა კლინიკის საერთო ქსელში</t>
  </si>
  <si>
    <t>Cat5e, შიდა გამოყენების ; FTP; ერთჟილიანი 8 წვერი,
4 წყვილად ხვეული; 100% სპილენძი; კვეთა 0.48-0.5მმ;
სამუშაო დიაპაზონი -15+50C  მონტაჟი კლინიკის საერთო ქსელზე დაერთებით</t>
  </si>
  <si>
    <t>Cat5e კაბელისთვის, UTP/FTP; T568A და T568B
სტანდარტი; 2 ბუდე RJ45; მოოქროვება 3U;
მარკირების ადგილი; RoHS სერთიფიცირება;
(პანელით,სოკეტით, ჩარჩოთი)</t>
  </si>
  <si>
    <t>პლასტმასის უნაგირიანი ლურსმანი</t>
  </si>
  <si>
    <t xml:space="preserve">პლასტმასის სამაგრი კაბელის 25mm </t>
  </si>
  <si>
    <t>9. დღიური სამუშაოები</t>
  </si>
  <si>
    <t>არაკვალიფიციური (დამხმარე) მუშები (მასალების ატანა და სხვა)</t>
  </si>
  <si>
    <t>სთ</t>
  </si>
  <si>
    <t>კრებსითი ხარჯთაღრიცხვა</t>
  </si>
  <si>
    <t>ქ.თბილისი 2023 წლის აპრილი</t>
  </si>
  <si>
    <t xml:space="preserve">VI სართული საოპერაციო სივრცის სარემონტო სამუშაოები          </t>
  </si>
  <si>
    <t>რეანიმაცია</t>
  </si>
  <si>
    <t>ლითონის სპეც. კარის ბლოკი კარის ბლოკი (0.9 X 2.15)მ   ანჯამებით, საკეტ-სახელურით  (3კომპლ)</t>
  </si>
  <si>
    <t>ლითონის სპეც. კარის ბლოკი კარის ბლოკი (1.5 X 2.15)მ   ანჯამებით, საკეტ-სახელურით (19კომპლ)</t>
  </si>
  <si>
    <t xml:space="preserve">ქვიშა-ცემენტის მჭიმის მოწყობა იატაკებზე  </t>
  </si>
  <si>
    <t>კედლის დამცავი ბამპერების მონტაჟი</t>
  </si>
  <si>
    <t xml:space="preserve">კედლებზე პლასტიკატის სპეციალური დამცავი ფილების  (,,ბამპერების'') მოწყობა </t>
  </si>
  <si>
    <t>თვითსწორებადი იატაკის ფხვნილი ყველა ის მწარმოებელი რომელიც იძლევა საშუალებას 3 მმ დან 30 მმ მდე  შესწორებას</t>
  </si>
  <si>
    <t>თვითსწორებადი იატაკის ფხვნილი ყველა ის მწარმოებელი რომელიც იძლევა საშუალებას 3 მმ დან 30 მმ მდე  შესწორებას ( სართულზე აზიდვით )</t>
  </si>
  <si>
    <r>
      <rPr>
        <b/>
        <sz val="12"/>
        <color theme="1"/>
        <rFont val="Sylfaen"/>
        <family val="1"/>
      </rPr>
      <t xml:space="preserve">საოპერაციო                                                                       </t>
    </r>
    <r>
      <rPr>
        <sz val="10"/>
        <color theme="1"/>
        <rFont val="Sylfaen"/>
        <family val="1"/>
        <charset val="204"/>
      </rPr>
      <t xml:space="preserve"> ვინილი  სამედიცინო დანიშნულების ანტიბაქტერიული და ჰომოგენური  (პალატები და დერეფნები / ანტისტატიკური საოპერაციო და მსგავსი საპროცედურო ) ჩვენს შემთხვევაში პალატები და კორიდორი ტექ.მახასიათებლები : ფორმატი რულონური სიგრძე 20 მ სიგანე 2მ , ჯგუფი T , ხმის დეციბალი 19-21 , სისქე 2.0 -3.5 მმ ,ფერი და დიზაინი შეთანხმდეს დამკვეთთან</t>
    </r>
  </si>
  <si>
    <r>
      <rPr>
        <b/>
        <sz val="12"/>
        <color theme="1"/>
        <rFont val="Sylfaen"/>
        <family val="1"/>
      </rPr>
      <t xml:space="preserve">კორიდორი და პალატები                                                                       </t>
    </r>
    <r>
      <rPr>
        <sz val="10"/>
        <color theme="1"/>
        <rFont val="Sylfaen"/>
        <family val="1"/>
        <charset val="204"/>
      </rPr>
      <t xml:space="preserve"> ვინილი  სამედიცინო დანიშნულების ანტიბაქტერიული და ჰომოგენური  (პალატები და დერეფნები / ანტისტატიკური საოპერაციო და მსგავსი საპროცედურო ) ჩვენს შემთხვევაში პალატები და კორიდორი ტექ.მახასიათებლები : ფორმატი რულონური სიგრძე 20 მ სიგანე 2მ , ჯგუფი T , ხმის დეციბალი 19-21 , სისქე 2.0 -3.5 მმ ,ფერი და დიზაინი შეთანხმდეს დამკვეთთან</t>
    </r>
  </si>
  <si>
    <t>სილიკონური რეცხვადი ანტიბაქტერიული საღებავი ყველა ბრენდი რომელსაც გააჩნია უვნებლობის სერთიფიკატი და დაშვებულია სამედიცინო სფეროში გამოსაყენებლად არა ნაკლები ხარისხის CAPAROL SAMTEX</t>
  </si>
  <si>
    <t xml:space="preserve">ლითონის სპეც. კარის ბლოკი   (1.5 X 2.15)მ -15 ცალი  ანჯამებით, საკეტ-სახელურით. სრულად გალავანიზებული, "ფარული" ნაწილების ჩათვლით - დამუშავებული ცხელ-გალავანიზებული ლითონის ფურცლისგან, კოროზიისგან დაცვა. შეღებილია ეპოქსიდ-პოლიესტერის თერმო დამცავი ფხვნილებით, სტრუქტურირებული საღებავის ფენა (70 მიკრონიზე მეტი). ნაკაწრებზე მედეგობა. </t>
  </si>
  <si>
    <r>
      <rPr>
        <b/>
        <sz val="12"/>
        <color theme="1"/>
        <rFont val="Sylfaen"/>
        <family val="1"/>
      </rPr>
      <t xml:space="preserve">კორიდორი                                                                            </t>
    </r>
    <r>
      <rPr>
        <sz val="10"/>
        <color theme="1"/>
        <rFont val="Sylfaen"/>
        <family val="1"/>
        <charset val="204"/>
      </rPr>
      <t xml:space="preserve"> ვინილი  სამედიცინო დანიშნულების ანტიბაქტერიული და ჰომოგენური  (პალატები და დერეფნები / ანტისტატიკური საოპერაციო და მსგავსი საპროცედურო ) ჩვენს შემთხვევაში პალატები და კორიდორი ტექ.მახასიათებლები : ფორმატი რულონური სიგრძე 20 მ სიგანე 2მ , ჯგუფი T , ხმის დეციბალი 19-21 , სისქე 2.0 -3.5 მმ ,ფერი და დიზაინი შეთანხმდეს დამკვეთთან</t>
    </r>
  </si>
  <si>
    <t xml:space="preserve">ლითონის სპეც. კარის ბლოკი  (0.90 X2.15)მ - 3 ც; (1.5 X 2.15)მ -19 ც  ანჯამებით, საკეტ-სახელურით. სრულად გალავანიზებული, "ფარული" ნაწილების ჩათვლით - დამუშავებული ცხელ-გალავანიზებული ლითონის ფურცლისგან, კოროზიისგან დაცვა. შეღებილია ეპოქსიდ-პოლიესტერის თერმო დამცავი ფხვნილებით, სტრუქტურირებული საღებავის ფენა (70 მიკრონიზე მეტი). ნაკაწრებზე მედეგობა. </t>
  </si>
  <si>
    <r>
      <rPr>
        <sz val="9"/>
        <color rgb="FF000000"/>
        <rFont val="AcadNusx"/>
      </rPr>
      <t>#</t>
    </r>
  </si>
  <si>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ასახ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ა</t>
    </r>
  </si>
  <si>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ან</t>
    </r>
    <r>
      <rPr>
        <sz val="9"/>
        <color rgb="FF000000"/>
        <rFont val="Sylfaen"/>
        <family val="1"/>
      </rPr>
      <t>ზ</t>
    </r>
    <r>
      <rPr>
        <sz val="9"/>
        <color rgb="FF000000"/>
        <rFont val="AcadNusx"/>
      </rPr>
      <t>.</t>
    </r>
  </si>
  <si>
    <r>
      <rPr>
        <sz val="9"/>
        <color rgb="FF000000"/>
        <rFont val="Sylfaen"/>
        <family val="1"/>
      </rPr>
      <t>რაოდ</t>
    </r>
    <r>
      <rPr>
        <sz val="9"/>
        <color rgb="FF000000"/>
        <rFont val="AcadNusx"/>
      </rPr>
      <t>.</t>
    </r>
  </si>
  <si>
    <t>მასალები</t>
  </si>
  <si>
    <r>
      <rPr>
        <sz val="9"/>
        <color rgb="FF000000"/>
        <rFont val="Sylfaen"/>
        <family val="1"/>
      </rPr>
      <t>სულ</t>
    </r>
  </si>
  <si>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რ</t>
    </r>
    <r>
      <rPr>
        <sz val="9"/>
        <color rgb="FF000000"/>
        <rFont val="Sylfaen"/>
        <family val="1"/>
      </rPr>
      <t>თ</t>
    </r>
    <r>
      <rPr>
        <sz val="9"/>
        <color rgb="FF000000"/>
        <rFont val="AcadNusx"/>
      </rPr>
      <t>.</t>
    </r>
  </si>
  <si>
    <t>სულ</t>
  </si>
  <si>
    <r>
      <rPr>
        <sz val="9"/>
        <color rgb="FF000000"/>
        <rFont val="Calibri"/>
        <family val="2"/>
      </rPr>
      <t>1</t>
    </r>
  </si>
  <si>
    <r>
      <rPr>
        <sz val="9"/>
        <color rgb="FF000000"/>
        <rFont val="Sylfaen"/>
        <family val="1"/>
      </rPr>
      <t>არს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ული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სავ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ნტი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>ც</t>
    </r>
    <r>
      <rPr>
        <sz val="9"/>
        <color rgb="FF000000"/>
        <rFont val="Sylfaen"/>
        <family val="1"/>
      </rPr>
      <t>იო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ანა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არ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 xml:space="preserve">ის
</t>
    </r>
    <r>
      <rPr>
        <sz val="9"/>
        <color rgb="FF000000"/>
        <rFont val="Sylfaen"/>
        <family val="1"/>
      </rPr>
      <t>ნაწ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ო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რივ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მონტაჟი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მონტაჟი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(</t>
    </r>
    <r>
      <rPr>
        <sz val="9"/>
        <color rgb="FF000000"/>
        <rFont val="Sylfaen"/>
        <family val="1"/>
      </rPr>
      <t>რ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ამინაც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ული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ო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ს</t>
    </r>
    <r>
      <rPr>
        <sz val="9"/>
        <color rgb="FF000000"/>
        <rFont val="Calibri"/>
        <family val="2"/>
      </rPr>
      <t>)</t>
    </r>
    <r>
      <rPr>
        <sz val="9"/>
        <color rgb="FF000000"/>
        <rFont val="Calibri"/>
        <family val="2"/>
      </rPr>
      <t xml:space="preserve"> </t>
    </r>
    <r>
      <rPr>
        <sz val="9"/>
        <color rgb="FF000000"/>
        <rFont val="Sylfaen"/>
        <family val="1"/>
      </rPr>
      <t>მ</t>
    </r>
    <r>
      <rPr>
        <sz val="9"/>
        <color rgb="FF000000"/>
        <rFont val="Sylfaen"/>
        <family val="1"/>
      </rPr>
      <t>ე</t>
    </r>
    <r>
      <rPr>
        <sz val="9"/>
        <color rgb="FF000000"/>
        <rFont val="Calibri"/>
        <family val="2"/>
      </rPr>
      <t>-6</t>
    </r>
    <r>
      <rPr>
        <sz val="9"/>
        <color rgb="FF000000"/>
        <rFont val="Calibri"/>
        <family val="2"/>
      </rPr>
      <t xml:space="preserve"> </t>
    </r>
    <r>
      <rPr>
        <sz val="9"/>
        <color rgb="FF000000"/>
        <rFont val="Sylfaen"/>
        <family val="1"/>
      </rPr>
      <t>სარ</t>
    </r>
    <r>
      <rPr>
        <sz val="9"/>
        <color rgb="FF000000"/>
        <rFont val="Sylfaen"/>
        <family val="1"/>
      </rPr>
      <t>თ</t>
    </r>
    <r>
      <rPr>
        <sz val="9"/>
        <color rgb="FF000000"/>
        <rFont val="Sylfaen"/>
        <family val="1"/>
      </rPr>
      <t>ულ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>ტ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შ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ჰ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რის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მო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ინ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აწოვ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სისტ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მ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ის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არ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ულ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რ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ის</t>
    </r>
    <r>
      <rPr>
        <sz val="9"/>
        <color rgb="FF000000"/>
        <rFont val="Sylfaen"/>
        <family val="1"/>
      </rPr>
      <t>თ</t>
    </r>
    <r>
      <rPr>
        <sz val="9"/>
        <color rgb="FF000000"/>
        <rFont val="Sylfaen"/>
        <family val="1"/>
      </rPr>
      <t>ვის</t>
    </r>
  </si>
  <si>
    <r>
      <rPr>
        <sz val="9"/>
        <color rgb="FF000000"/>
        <rFont val="Sylfaen"/>
        <family val="1"/>
      </rPr>
      <t>ც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</si>
  <si>
    <r>
      <rPr>
        <sz val="9"/>
        <color rgb="FF000000"/>
        <rFont val="Calibri"/>
        <family val="2"/>
      </rPr>
      <t>4</t>
    </r>
  </si>
  <si>
    <r>
      <rPr>
        <sz val="9"/>
        <color rgb="FF000000"/>
        <rFont val="Calibri"/>
        <family val="2"/>
      </rPr>
      <t>2</t>
    </r>
  </si>
  <si>
    <r>
      <rPr>
        <sz val="9"/>
        <color rgb="FF000000"/>
        <rFont val="Sylfaen"/>
        <family val="1"/>
      </rPr>
      <t>მ</t>
    </r>
    <r>
      <rPr>
        <sz val="9"/>
        <color rgb="FF000000"/>
        <rFont val="Sylfaen"/>
        <family val="1"/>
      </rPr>
      <t>ე</t>
    </r>
    <r>
      <rPr>
        <sz val="9"/>
        <color rgb="FF000000"/>
        <rFont val="Calibri"/>
        <family val="2"/>
      </rPr>
      <t>-6</t>
    </r>
    <r>
      <rPr>
        <sz val="9"/>
        <color rgb="FF000000"/>
        <rFont val="Calibri"/>
        <family val="2"/>
      </rPr>
      <t xml:space="preserve"> </t>
    </r>
    <r>
      <rPr>
        <sz val="9"/>
        <color rgb="FF000000"/>
        <rFont val="Sylfaen"/>
        <family val="1"/>
      </rPr>
      <t>სარ</t>
    </r>
    <r>
      <rPr>
        <sz val="9"/>
        <color rgb="FF000000"/>
        <rFont val="Sylfaen"/>
        <family val="1"/>
      </rPr>
      <t>თ</t>
    </r>
    <r>
      <rPr>
        <sz val="9"/>
        <color rgb="FF000000"/>
        <rFont val="Sylfaen"/>
        <family val="1"/>
      </rPr>
      <t>ულ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საოპ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რა</t>
    </r>
    <r>
      <rPr>
        <sz val="9"/>
        <color rgb="FF000000"/>
        <rFont val="Sylfaen"/>
        <family val="1"/>
      </rPr>
      <t>ც</t>
    </r>
    <r>
      <rPr>
        <sz val="9"/>
        <color rgb="FF000000"/>
        <rFont val="Sylfaen"/>
        <family val="1"/>
      </rPr>
      <t>იო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ო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ის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სავ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ნტი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>ც</t>
    </r>
    <r>
      <rPr>
        <sz val="9"/>
        <color rgb="FF000000"/>
        <rFont val="Sylfaen"/>
        <family val="1"/>
      </rPr>
      <t>იო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ანა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არ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ის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რ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ონსტრუქცია</t>
    </r>
  </si>
  <si>
    <r>
      <rPr>
        <sz val="9"/>
        <color rgb="FF000000"/>
        <rFont val="Calibri"/>
        <family val="2"/>
      </rPr>
      <t>5</t>
    </r>
  </si>
  <si>
    <r>
      <rPr>
        <sz val="9"/>
        <color rgb="FF000000"/>
        <rFont val="Sylfaen"/>
        <family val="1"/>
      </rPr>
      <t>მო</t>
    </r>
    <r>
      <rPr>
        <sz val="9"/>
        <color rgb="FF000000"/>
        <rFont val="Sylfaen"/>
        <family val="1"/>
      </rPr>
      <t>თ</t>
    </r>
    <r>
      <rPr>
        <sz val="9"/>
        <color rgb="FF000000"/>
        <rFont val="Sylfaen"/>
        <family val="1"/>
      </rPr>
      <t>უთუ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ული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თ</t>
    </r>
    <r>
      <rPr>
        <sz val="9"/>
        <color rgb="FF000000"/>
        <rFont val="Sylfaen"/>
        <family val="1"/>
      </rPr>
      <t>უ</t>
    </r>
    <r>
      <rPr>
        <sz val="9"/>
        <color rgb="FF000000"/>
        <rFont val="Sylfaen"/>
        <family val="1"/>
      </rPr>
      <t>ნ</t>
    </r>
    <r>
      <rPr>
        <sz val="9"/>
        <color rgb="FF000000"/>
        <rFont val="Sylfaen"/>
        <family val="1"/>
      </rPr>
      <t>უ</t>
    </r>
    <r>
      <rPr>
        <sz val="9"/>
        <color rgb="FF000000"/>
        <rFont val="Sylfaen"/>
        <family val="1"/>
      </rPr>
      <t>ქ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0</t>
    </r>
    <r>
      <rPr>
        <sz val="9"/>
        <color rgb="FF000000"/>
        <rFont val="Calibri"/>
        <family val="2"/>
      </rPr>
      <t>,</t>
    </r>
    <r>
      <rPr>
        <sz val="9"/>
        <color rgb="FF000000"/>
        <rFont val="Calibri"/>
        <family val="2"/>
      </rPr>
      <t>6</t>
    </r>
    <r>
      <rPr>
        <sz val="9"/>
        <color rgb="FF000000"/>
        <rFont val="Sylfaen"/>
        <family val="1"/>
      </rPr>
      <t>მმ</t>
    </r>
  </si>
  <si>
    <r>
      <rPr>
        <sz val="9"/>
        <color rgb="FF000000"/>
        <rFont val="Sylfaen"/>
        <family val="1"/>
      </rPr>
      <t>მ</t>
    </r>
    <r>
      <rPr>
        <sz val="9"/>
        <color rgb="FF000000"/>
        <rFont val="Calibri"/>
        <family val="2"/>
      </rPr>
      <t>2</t>
    </r>
  </si>
  <si>
    <r>
      <rPr>
        <sz val="9"/>
        <color rgb="FF000000"/>
        <rFont val="Sylfaen"/>
        <family val="1"/>
      </rPr>
      <t>წ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ოვ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>ნი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ღ</t>
    </r>
    <r>
      <rPr>
        <sz val="9"/>
        <color rgb="FF000000"/>
        <rFont val="Sylfaen"/>
        <family val="1"/>
      </rPr>
      <t>რუ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9</t>
    </r>
    <r>
      <rPr>
        <sz val="9"/>
        <color rgb="FF000000"/>
        <rFont val="Sylfaen"/>
        <family val="1"/>
      </rPr>
      <t>მმ</t>
    </r>
  </si>
  <si>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ო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იპრო</t>
    </r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ნის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მი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ф-75</t>
    </r>
    <r>
      <rPr>
        <sz val="9"/>
        <color rgb="FF000000"/>
        <rFont val="Sylfaen"/>
        <family val="1"/>
      </rPr>
      <t>მმ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(</t>
    </r>
    <r>
      <rPr>
        <sz val="9"/>
        <color rgb="FF000000"/>
        <rFont val="Sylfaen"/>
        <family val="1"/>
      </rPr>
      <t>შ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ფ</t>
    </r>
    <r>
      <rPr>
        <sz val="9"/>
        <color rgb="FF000000"/>
        <rFont val="Sylfaen"/>
        <family val="1"/>
      </rPr>
      <t>თ</t>
    </r>
    <r>
      <rPr>
        <sz val="9"/>
        <color rgb="FF000000"/>
        <rFont val="Calibri"/>
        <family val="2"/>
      </rPr>
      <t>)</t>
    </r>
  </si>
  <si>
    <t>გრძ</t>
  </si>
  <si>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ო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იპრო</t>
    </r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ნის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მი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ф-63</t>
    </r>
    <r>
      <rPr>
        <sz val="9"/>
        <color rgb="FF000000"/>
        <rFont val="Sylfaen"/>
        <family val="1"/>
      </rPr>
      <t>მმ</t>
    </r>
    <r>
      <rPr>
        <sz val="9"/>
        <color rgb="FF000000"/>
        <rFont val="Calibri"/>
        <family val="2"/>
      </rPr>
      <t>(</t>
    </r>
    <r>
      <rPr>
        <sz val="9"/>
        <color rgb="FF000000"/>
        <rFont val="Sylfaen"/>
        <family val="1"/>
      </rPr>
      <t>შ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ფ</t>
    </r>
    <r>
      <rPr>
        <sz val="9"/>
        <color rgb="FF000000"/>
        <rFont val="Sylfaen"/>
        <family val="1"/>
      </rPr>
      <t>თ</t>
    </r>
    <r>
      <rPr>
        <sz val="9"/>
        <color rgb="FF000000"/>
        <rFont val="Calibri"/>
        <family val="2"/>
      </rPr>
      <t>)</t>
    </r>
  </si>
  <si>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ო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იპრო</t>
    </r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ნის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მი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ф-50</t>
    </r>
    <r>
      <rPr>
        <sz val="9"/>
        <color rgb="FF000000"/>
        <rFont val="Sylfaen"/>
        <family val="1"/>
      </rPr>
      <t>მმ</t>
    </r>
    <r>
      <rPr>
        <sz val="9"/>
        <color rgb="FF000000"/>
        <rFont val="Calibri"/>
        <family val="2"/>
      </rPr>
      <t>(</t>
    </r>
    <r>
      <rPr>
        <sz val="9"/>
        <color rgb="FF000000"/>
        <rFont val="Sylfaen"/>
        <family val="1"/>
      </rPr>
      <t>შ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ფ</t>
    </r>
    <r>
      <rPr>
        <sz val="9"/>
        <color rgb="FF000000"/>
        <rFont val="Sylfaen"/>
        <family val="1"/>
      </rPr>
      <t>თ</t>
    </r>
    <r>
      <rPr>
        <sz val="9"/>
        <color rgb="FF000000"/>
        <rFont val="Calibri"/>
        <family val="2"/>
      </rPr>
      <t>)</t>
    </r>
  </si>
  <si>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ო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იპრო</t>
    </r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ნის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მი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ф-40</t>
    </r>
    <r>
      <rPr>
        <sz val="9"/>
        <color rgb="FF000000"/>
        <rFont val="Sylfaen"/>
        <family val="1"/>
      </rPr>
      <t>მმ</t>
    </r>
    <r>
      <rPr>
        <sz val="9"/>
        <color rgb="FF000000"/>
        <rFont val="Calibri"/>
        <family val="2"/>
      </rPr>
      <t>(</t>
    </r>
    <r>
      <rPr>
        <sz val="9"/>
        <color rgb="FF000000"/>
        <rFont val="Sylfaen"/>
        <family val="1"/>
      </rPr>
      <t>შ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ფ</t>
    </r>
    <r>
      <rPr>
        <sz val="9"/>
        <color rgb="FF000000"/>
        <rFont val="Sylfaen"/>
        <family val="1"/>
      </rPr>
      <t>თ</t>
    </r>
    <r>
      <rPr>
        <sz val="9"/>
        <color rgb="FF000000"/>
        <rFont val="Calibri"/>
        <family val="2"/>
      </rPr>
      <t>)</t>
    </r>
  </si>
  <si>
    <t>ფასონური ნაწილები ჰაერსატარების</t>
  </si>
  <si>
    <r>
      <rPr>
        <sz val="9"/>
        <color rgb="FF000000"/>
        <rFont val="Sylfaen"/>
        <family val="1"/>
      </rPr>
      <t>ცხაურა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იმ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ოქსით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550/550</t>
    </r>
    <r>
      <rPr>
        <sz val="9"/>
        <color rgb="FF000000"/>
        <rFont val="Calibri"/>
        <family val="2"/>
      </rPr>
      <t>(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ვადო</t>
    </r>
    <r>
      <rPr>
        <sz val="9"/>
        <color rgb="FF000000"/>
        <rFont val="Calibri"/>
        <family val="2"/>
      </rPr>
      <t>)</t>
    </r>
    <r>
      <rPr>
        <sz val="9"/>
        <color rgb="FF000000"/>
        <rFont val="Sylfaen"/>
        <family val="1"/>
      </rPr>
      <t>მო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ინ</t>
    </r>
    <r>
      <rPr>
        <sz val="9"/>
        <color rgb="FF000000"/>
        <rFont val="Calibri"/>
        <family val="2"/>
      </rPr>
      <t>.</t>
    </r>
  </si>
  <si>
    <r>
      <rPr>
        <sz val="9"/>
        <color rgb="FF000000"/>
        <rFont val="Sylfaen"/>
        <family val="1"/>
      </rPr>
      <t>ცხაურა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იმ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ოქსით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550/550</t>
    </r>
    <r>
      <rPr>
        <sz val="9"/>
        <color rgb="FF000000"/>
        <rFont val="Calibri"/>
        <family val="2"/>
      </rPr>
      <t>(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ვადო</t>
    </r>
    <r>
      <rPr>
        <sz val="9"/>
        <color rgb="FF000000"/>
        <rFont val="Calibri"/>
        <family val="2"/>
      </rPr>
      <t>)</t>
    </r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>წ</t>
    </r>
    <r>
      <rPr>
        <sz val="9"/>
        <color rgb="FF000000"/>
        <rFont val="Calibri"/>
        <family val="2"/>
      </rPr>
      <t>.</t>
    </r>
  </si>
  <si>
    <r>
      <rPr>
        <sz val="9"/>
        <color rgb="FF000000"/>
        <rFont val="Calibri"/>
        <family val="2"/>
      </rPr>
      <t>12</t>
    </r>
  </si>
  <si>
    <r>
      <rPr>
        <sz val="9"/>
        <color rgb="FF000000"/>
        <rFont val="Sylfaen"/>
        <family val="1"/>
      </rPr>
      <t>საოპ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რა</t>
    </r>
    <r>
      <rPr>
        <sz val="9"/>
        <color rgb="FF000000"/>
        <rFont val="Sylfaen"/>
        <family val="1"/>
      </rPr>
      <t>ც</t>
    </r>
    <r>
      <rPr>
        <sz val="9"/>
        <color rgb="FF000000"/>
        <rFont val="Sylfaen"/>
        <family val="1"/>
      </rPr>
      <t>იო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ო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ის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ორიფ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რი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14</t>
    </r>
    <r>
      <rPr>
        <sz val="9"/>
        <color rgb="FF000000"/>
        <rFont val="Sylfaen"/>
        <family val="1"/>
      </rPr>
      <t xml:space="preserve">კვ
</t>
    </r>
    <r>
      <rPr>
        <sz val="9"/>
        <color rgb="FF000000"/>
        <rFont val="Sylfaen"/>
        <family val="1"/>
      </rPr>
      <t>სი</t>
    </r>
    <r>
      <rPr>
        <sz val="9"/>
        <color rgb="FF000000"/>
        <rFont val="Sylfaen"/>
        <family val="1"/>
      </rPr>
      <t>ც</t>
    </r>
    <r>
      <rPr>
        <sz val="9"/>
        <color rgb="FF000000"/>
        <rFont val="Calibri"/>
        <family val="2"/>
      </rPr>
      <t>.</t>
    </r>
    <r>
      <rPr>
        <sz val="9"/>
        <color rgb="FF000000"/>
        <rFont val="Calibri"/>
        <family val="2"/>
      </rPr>
      <t>(</t>
    </r>
    <r>
      <rPr>
        <sz val="9"/>
        <color rgb="FF000000"/>
        <rFont val="Sylfaen"/>
        <family val="1"/>
      </rPr>
      <t>თ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ომა</t>
    </r>
    <r>
      <rPr>
        <sz val="9"/>
        <color rgb="FF000000"/>
        <rFont val="Sylfaen"/>
        <family val="1"/>
      </rPr>
      <t>ტ</t>
    </r>
    <r>
      <rPr>
        <sz val="9"/>
        <color rgb="FF000000"/>
        <rFont val="Sylfaen"/>
        <family val="1"/>
      </rPr>
      <t>არ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ფრ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ონი</t>
    </r>
    <r>
      <rPr>
        <sz val="9"/>
        <color rgb="FF000000"/>
        <rFont val="Calibri"/>
        <family val="2"/>
      </rPr>
      <t>)</t>
    </r>
  </si>
  <si>
    <r>
      <rPr>
        <sz val="9"/>
        <color rgb="FF000000"/>
        <rFont val="Calibri"/>
        <family val="2"/>
      </rPr>
      <t>13</t>
    </r>
  </si>
  <si>
    <r>
      <rPr>
        <sz val="9"/>
        <color rgb="FF000000"/>
        <rFont val="Sylfaen"/>
        <family val="1"/>
      </rPr>
      <t>ინვ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ნტორუ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ამაგრი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ანა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 xml:space="preserve">არი
</t>
    </r>
    <r>
      <rPr>
        <sz val="9"/>
        <color rgb="FF000000"/>
        <rFont val="Calibri"/>
        <family val="2"/>
      </rPr>
      <t>68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ვ</t>
    </r>
    <r>
      <rPr>
        <sz val="9"/>
        <color rgb="FF000000"/>
        <rFont val="Calibri"/>
        <family val="2"/>
      </rPr>
      <t>.</t>
    </r>
    <r>
      <rPr>
        <sz val="9"/>
        <color rgb="FF000000"/>
        <rFont val="Sylfaen"/>
        <family val="1"/>
      </rPr>
      <t>სი</t>
    </r>
    <r>
      <rPr>
        <sz val="9"/>
        <color rgb="FF000000"/>
        <rFont val="Sylfaen"/>
        <family val="1"/>
      </rPr>
      <t>ც</t>
    </r>
    <r>
      <rPr>
        <sz val="9"/>
        <color rgb="FF000000"/>
        <rFont val="Calibri"/>
        <family val="2"/>
      </rPr>
      <t>.</t>
    </r>
    <r>
      <rPr>
        <sz val="9"/>
        <color rgb="FF000000"/>
        <rFont val="Calibri"/>
        <family val="2"/>
      </rPr>
      <t xml:space="preserve"> </t>
    </r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არე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ო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ი</t>
    </r>
    <r>
      <rPr>
        <sz val="9"/>
        <color rgb="FF000000"/>
        <rFont val="Calibri"/>
        <family val="2"/>
      </rPr>
      <t>(</t>
    </r>
    <r>
      <rPr>
        <sz val="9"/>
        <color rgb="FF000000"/>
        <rFont val="Calibri"/>
        <family val="2"/>
      </rPr>
      <t>V</t>
    </r>
    <r>
      <rPr>
        <sz val="9"/>
        <color rgb="FF000000"/>
        <rFont val="Calibri"/>
        <family val="2"/>
      </rPr>
      <t>R</t>
    </r>
    <r>
      <rPr>
        <sz val="9"/>
        <color rgb="FF000000"/>
        <rFont val="Calibri"/>
        <family val="2"/>
      </rPr>
      <t>F</t>
    </r>
    <r>
      <rPr>
        <sz val="9"/>
        <color rgb="FF000000"/>
        <rFont val="Calibri"/>
        <family val="2"/>
      </rPr>
      <t>)</t>
    </r>
  </si>
  <si>
    <t>სპილენძის მილები და დამხმარე მასალები</t>
  </si>
  <si>
    <t>დიფერენციალური ჰაერმზომი</t>
  </si>
  <si>
    <t>სიხშირული მართვის ხელსაწყო</t>
  </si>
  <si>
    <t>მართვის პულტი</t>
  </si>
  <si>
    <r>
      <rPr>
        <sz val="9"/>
        <color rgb="FF000000"/>
        <rFont val="Sylfaen"/>
        <family val="1"/>
      </rPr>
      <t>არხუ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ონ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ც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ონ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რი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7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ვ</t>
    </r>
    <r>
      <rPr>
        <sz val="9"/>
        <color rgb="FF000000"/>
        <rFont val="Calibri"/>
        <family val="2"/>
      </rPr>
      <t>.</t>
    </r>
    <r>
      <rPr>
        <sz val="9"/>
        <color rgb="FF000000"/>
        <rFont val="Sylfaen"/>
        <family val="1"/>
      </rPr>
      <t>სი</t>
    </r>
    <r>
      <rPr>
        <sz val="9"/>
        <color rgb="FF000000"/>
        <rFont val="Sylfaen"/>
        <family val="1"/>
      </rPr>
      <t>ც</t>
    </r>
    <r>
      <rPr>
        <sz val="9"/>
        <color rgb="FF000000"/>
        <rFont val="Calibri"/>
        <family val="2"/>
      </rPr>
      <t>.</t>
    </r>
    <r>
      <rPr>
        <sz val="9"/>
        <color rgb="FF000000"/>
        <rFont val="Calibri"/>
        <family val="2"/>
      </rPr>
      <t>(</t>
    </r>
    <r>
      <rPr>
        <sz val="9"/>
        <color rgb="FF000000"/>
        <rFont val="Sylfaen"/>
        <family val="1"/>
      </rPr>
      <t>შ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კ</t>
    </r>
    <r>
      <rPr>
        <sz val="9"/>
        <color rgb="FF000000"/>
        <rFont val="Calibri"/>
        <family val="2"/>
      </rPr>
      <t>)</t>
    </r>
  </si>
  <si>
    <r>
      <rPr>
        <sz val="9"/>
        <color rgb="FF000000"/>
        <rFont val="Calibri"/>
        <family val="2"/>
      </rPr>
      <t>19</t>
    </r>
  </si>
  <si>
    <r>
      <rPr>
        <sz val="9"/>
        <color rgb="FF000000"/>
        <rFont val="Sylfaen"/>
        <family val="1"/>
      </rPr>
      <t>არხუ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ონ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ც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ონ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რი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15</t>
    </r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ვ</t>
    </r>
    <r>
      <rPr>
        <sz val="9"/>
        <color rgb="FF000000"/>
        <rFont val="Calibri"/>
        <family val="2"/>
      </rPr>
      <t>.</t>
    </r>
    <r>
      <rPr>
        <sz val="9"/>
        <color rgb="FF000000"/>
        <rFont val="Sylfaen"/>
        <family val="1"/>
      </rPr>
      <t>სი</t>
    </r>
    <r>
      <rPr>
        <sz val="9"/>
        <color rgb="FF000000"/>
        <rFont val="Sylfaen"/>
        <family val="1"/>
      </rPr>
      <t>ც</t>
    </r>
    <r>
      <rPr>
        <sz val="9"/>
        <color rgb="FF000000"/>
        <rFont val="Calibri"/>
        <family val="2"/>
      </rPr>
      <t>.</t>
    </r>
    <r>
      <rPr>
        <sz val="9"/>
        <color rgb="FF000000"/>
        <rFont val="Calibri"/>
        <family val="2"/>
      </rPr>
      <t>(</t>
    </r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არე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კ</t>
    </r>
    <r>
      <rPr>
        <sz val="9"/>
        <color rgb="FF000000"/>
        <rFont val="Calibri"/>
        <family val="2"/>
      </rPr>
      <t>)</t>
    </r>
  </si>
  <si>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ამწოვი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ვ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ნტი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>ტორი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Calibri"/>
        <family val="2"/>
      </rPr>
      <t>800</t>
    </r>
    <r>
      <rPr>
        <sz val="9"/>
        <color rgb="FF000000"/>
        <rFont val="Sylfaen"/>
        <family val="1"/>
      </rPr>
      <t>მ</t>
    </r>
    <r>
      <rPr>
        <sz val="9"/>
        <color rgb="FF000000"/>
        <rFont val="Calibri"/>
        <family val="2"/>
      </rPr>
      <t>3/150</t>
    </r>
    <r>
      <rPr>
        <sz val="9"/>
        <color rgb="FF000000"/>
        <rFont val="Sylfaen"/>
        <family val="1"/>
      </rPr>
      <t>პ</t>
    </r>
    <r>
      <rPr>
        <sz val="9"/>
        <color rgb="FF000000"/>
        <rFont val="Sylfaen"/>
        <family val="1"/>
      </rPr>
      <t>ას</t>
    </r>
  </si>
  <si>
    <t>გამწოვ მოდინებითი ცხაურები</t>
  </si>
  <si>
    <t>ელექტრო სამონტაჟო სამუშაოები</t>
  </si>
  <si>
    <r>
      <rPr>
        <sz val="9"/>
        <color rgb="FF000000"/>
        <rFont val="Calibri"/>
        <family val="2"/>
      </rPr>
      <t>24</t>
    </r>
  </si>
  <si>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აშვ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ამარ</t>
    </r>
    <r>
      <rPr>
        <sz val="9"/>
        <color rgb="FF000000"/>
        <rFont val="Sylfaen"/>
        <family val="1"/>
      </rPr>
      <t>თ</t>
    </r>
    <r>
      <rPr>
        <sz val="9"/>
        <color rgb="FF000000"/>
        <rFont val="Sylfaen"/>
        <family val="1"/>
      </rPr>
      <t>ვის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სამუ</t>
    </r>
    <r>
      <rPr>
        <sz val="9"/>
        <color rgb="FF000000"/>
        <rFont val="Sylfaen"/>
        <family val="1"/>
      </rPr>
      <t>შ</t>
    </r>
    <r>
      <rPr>
        <sz val="9"/>
        <color rgb="FF000000"/>
        <rFont val="Sylfaen"/>
        <family val="1"/>
      </rPr>
      <t>აო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ი</t>
    </r>
    <r>
      <rPr>
        <sz val="9"/>
        <color rgb="FF000000"/>
        <rFont val="Sylfaen"/>
        <family val="1"/>
      </rPr>
      <t xml:space="preserve"> </t>
    </r>
    <r>
      <rPr>
        <sz val="9"/>
        <color rgb="FF000000"/>
        <rFont val="Sylfaen"/>
        <family val="1"/>
      </rPr>
      <t>სავ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ნტი</t>
    </r>
    <r>
      <rPr>
        <sz val="9"/>
        <color rgb="FF000000"/>
        <rFont val="Sylfaen"/>
        <family val="1"/>
      </rPr>
      <t>ლ</t>
    </r>
    <r>
      <rPr>
        <sz val="9"/>
        <color rgb="FF000000"/>
        <rFont val="Sylfaen"/>
        <family val="1"/>
      </rPr>
      <t>ა</t>
    </r>
    <r>
      <rPr>
        <sz val="9"/>
        <color rgb="FF000000"/>
        <rFont val="Sylfaen"/>
        <family val="1"/>
      </rPr>
      <t>ც</t>
    </r>
    <r>
      <rPr>
        <sz val="9"/>
        <color rgb="FF000000"/>
        <rFont val="Sylfaen"/>
        <family val="1"/>
      </rPr>
      <t xml:space="preserve">იო
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ანა</t>
    </r>
    <r>
      <rPr>
        <sz val="9"/>
        <color rgb="FF000000"/>
        <rFont val="Sylfaen"/>
        <family val="1"/>
      </rPr>
      <t>დ</t>
    </r>
    <r>
      <rPr>
        <sz val="9"/>
        <color rgb="FF000000"/>
        <rFont val="Sylfaen"/>
        <family val="1"/>
      </rPr>
      <t>გ</t>
    </r>
    <r>
      <rPr>
        <sz val="9"/>
        <color rgb="FF000000"/>
        <rFont val="Sylfaen"/>
        <family val="1"/>
      </rPr>
      <t>არ</t>
    </r>
    <r>
      <rPr>
        <sz val="9"/>
        <color rgb="FF000000"/>
        <rFont val="Sylfaen"/>
        <family val="1"/>
      </rPr>
      <t>ე</t>
    </r>
    <r>
      <rPr>
        <sz val="9"/>
        <color rgb="FF000000"/>
        <rFont val="Sylfaen"/>
        <family val="1"/>
      </rPr>
      <t>ბ</t>
    </r>
    <r>
      <rPr>
        <sz val="9"/>
        <color rgb="FF000000"/>
        <rFont val="Sylfaen"/>
        <family val="1"/>
      </rPr>
      <t>ის</t>
    </r>
  </si>
  <si>
    <r>
      <rPr>
        <sz val="9"/>
        <color rgb="FF000000"/>
        <rFont val="Sylfaen"/>
        <family val="1"/>
      </rPr>
      <t>კ</t>
    </r>
    <r>
      <rPr>
        <sz val="9"/>
        <color rgb="FF000000"/>
        <rFont val="Sylfaen"/>
        <family val="1"/>
      </rPr>
      <t>ომპ</t>
    </r>
  </si>
  <si>
    <r>
      <rPr>
        <sz val="9"/>
        <color rgb="FF000000"/>
        <rFont val="Calibri"/>
        <family val="2"/>
      </rPr>
      <t>10</t>
    </r>
  </si>
  <si>
    <t>პოლიიპროპილენის ფასონური ნაწილები</t>
  </si>
  <si>
    <t>სანგრევი სამუშაოები</t>
  </si>
  <si>
    <t>სატრანსპორტო  ხარჯები</t>
  </si>
  <si>
    <t>ზედნადები  ხარჯები</t>
  </si>
  <si>
    <t>გეგმიური  დაგროვება</t>
  </si>
  <si>
    <t>დღგ</t>
  </si>
  <si>
    <t>18%</t>
  </si>
  <si>
    <r>
      <rPr>
        <sz val="9"/>
        <color rgb="FF000000"/>
        <rFont val="Sylfaen"/>
        <family val="1"/>
      </rPr>
      <t>ჯ</t>
    </r>
    <r>
      <rPr>
        <sz val="9"/>
        <color rgb="FF000000"/>
        <rFont val="Sylfaen"/>
        <family val="1"/>
      </rPr>
      <t>ამი</t>
    </r>
  </si>
  <si>
    <t>#</t>
  </si>
  <si>
    <r>
      <t>daviT gagua</t>
    </r>
    <r>
      <rPr>
        <sz val="10"/>
        <color theme="1"/>
        <rFont val="Sylfaen"/>
        <family val="1"/>
      </rPr>
      <t xml:space="preserve"> </t>
    </r>
  </si>
  <si>
    <t xml:space="preserve">       kaxaber yazaiSvili</t>
  </si>
  <si>
    <t>ვენტილაცია</t>
  </si>
  <si>
    <t>აირები</t>
  </si>
  <si>
    <t>%</t>
  </si>
  <si>
    <t>ჯამი დღგ-ს გარეშე</t>
  </si>
  <si>
    <t>დამკვეთი: სს "ევექსის ჰოსპიტლები" ივ. ბოკერიას სახელობის რეფერალური ჰოსპიტალი
 ს/ნ 404476205</t>
  </si>
  <si>
    <t>ხარჯთაღრიცხვა</t>
  </si>
  <si>
    <t>რეანიმაცია 6 სართული</t>
  </si>
  <si>
    <t>სამუშაოთა დასახელება</t>
  </si>
  <si>
    <t>განზ.</t>
  </si>
  <si>
    <r>
      <t xml:space="preserve">სპილენძის მილის მონტაჟი </t>
    </r>
    <r>
      <rPr>
        <sz val="9"/>
        <color theme="1"/>
        <rFont val="Cambria"/>
        <family val="1"/>
        <scheme val="major"/>
      </rPr>
      <t xml:space="preserve">F12 </t>
    </r>
  </si>
  <si>
    <r>
      <t xml:space="preserve">სპილენძის მილის მონტაჟი </t>
    </r>
    <r>
      <rPr>
        <sz val="9"/>
        <color theme="1"/>
        <rFont val="Cambria"/>
        <family val="1"/>
        <scheme val="major"/>
      </rPr>
      <t xml:space="preserve">F10 </t>
    </r>
  </si>
  <si>
    <r>
      <t xml:space="preserve">სპილენძის მილის მონტაჟი </t>
    </r>
    <r>
      <rPr>
        <sz val="9"/>
        <color theme="1"/>
        <rFont val="Cambria"/>
        <family val="1"/>
        <scheme val="major"/>
      </rPr>
      <t>F6</t>
    </r>
  </si>
  <si>
    <t>რეანიმაციული კედლის პანელის დემონტაჟი</t>
  </si>
  <si>
    <t>რეანიმაციული ვერტიკალური პანელის მონტაჟი</t>
  </si>
  <si>
    <t>დღგ 18 %</t>
  </si>
  <si>
    <t xml:space="preserve">ზედნადები ხარჯი  % </t>
  </si>
  <si>
    <t>გეგმიური დაგროვება %</t>
  </si>
  <si>
    <t>დამკვ.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</si>
</sst>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00"/>
    <numFmt numFmtId="165" formatCode="0.0"/>
    <numFmt numFmtId="166" formatCode="0.0000"/>
  </numFmts>
  <fonts count="59">
    <font>
      <sz val="11"/>
      <color theme="1"/>
      <name val="Calibri"/>
      <family val="2"/>
      <scheme val="minor"/>
    </font>
    <font>
      <sz val="11"/>
      <color theme="1"/>
      <name val="Sylfaen"/>
      <family val="1"/>
      <charset val="204"/>
    </font>
    <font>
      <b/>
      <sz val="14"/>
      <color theme="1"/>
      <name val="Sylfaen"/>
      <family val="1"/>
      <charset val="204"/>
    </font>
    <font>
      <sz val="10"/>
      <color theme="1"/>
      <name val="Sylfaen"/>
      <family val="1"/>
      <charset val="204"/>
    </font>
    <font>
      <b/>
      <sz val="10"/>
      <color theme="1"/>
      <name val="Sylfaen"/>
      <family val="1"/>
      <charset val="204"/>
    </font>
    <font>
      <sz val="12"/>
      <color theme="1"/>
      <name val="Sylfaen"/>
      <family val="1"/>
      <charset val="204"/>
    </font>
    <font>
      <b/>
      <sz val="10"/>
      <color theme="1"/>
      <name val="Cambria"/>
      <family val="1"/>
      <charset val="204"/>
    </font>
    <font>
      <sz val="10"/>
      <color theme="1"/>
      <name val="Sylfaen"/>
      <family val="1"/>
    </font>
    <font>
      <sz val="9"/>
      <color theme="1"/>
      <name val="Sylfaen"/>
      <family val="1"/>
    </font>
    <font>
      <sz val="9"/>
      <color theme="1"/>
      <name val="Sylfaen"/>
      <family val="1"/>
      <charset val="204"/>
    </font>
    <font>
      <b/>
      <sz val="10"/>
      <color theme="1"/>
      <name val="Sylfaen"/>
      <family val="1"/>
    </font>
    <font>
      <b/>
      <sz val="12"/>
      <color theme="1"/>
      <name val="Sylfaen"/>
      <family val="1"/>
    </font>
    <font>
      <b/>
      <sz val="8"/>
      <color theme="1"/>
      <name val="Sylfaen"/>
      <family val="1"/>
    </font>
    <font>
      <sz val="10"/>
      <color theme="1"/>
      <name val="Arial"/>
      <family val="2"/>
      <charset val="204"/>
    </font>
    <font>
      <b/>
      <sz val="9"/>
      <color theme="1"/>
      <name val="Sylfaen"/>
      <family val="1"/>
    </font>
    <font>
      <sz val="9"/>
      <color theme="1"/>
      <name val="Calibri"/>
      <family val="2"/>
      <scheme val="minor"/>
    </font>
    <font>
      <b/>
      <sz val="9"/>
      <color theme="1"/>
      <name val="Sylfaen"/>
      <family val="1"/>
      <charset val="204"/>
    </font>
    <font>
      <sz val="8"/>
      <color theme="1"/>
      <name val="Sylfaen"/>
      <family val="1"/>
      <charset val="204"/>
    </font>
    <font>
      <sz val="8"/>
      <color theme="1"/>
      <name val="Sylfaen"/>
      <family val="1"/>
    </font>
    <font>
      <b/>
      <sz val="8"/>
      <color theme="1"/>
      <name val="Sylfaen"/>
      <family val="1"/>
      <charset val="204"/>
    </font>
    <font>
      <sz val="8"/>
      <color theme="1"/>
      <name val="Cambria"/>
      <family val="1"/>
      <charset val="204"/>
    </font>
    <font>
      <sz val="10"/>
      <name val="Sylfaen"/>
      <family val="1"/>
    </font>
    <font>
      <sz val="8"/>
      <color theme="1"/>
      <name val="Calibri"/>
      <family val="2"/>
      <scheme val="minor"/>
    </font>
    <font>
      <b/>
      <sz val="10"/>
      <color theme="1"/>
      <name val="Sylfaen"/>
      <family val="1"/>
    </font>
    <font>
      <b/>
      <sz val="9"/>
      <color theme="1"/>
      <name val="Sylfaen"/>
      <family val="1"/>
    </font>
    <font>
      <b/>
      <sz val="14"/>
      <color theme="1"/>
      <name val="Sylfaen"/>
      <family val="1"/>
    </font>
    <font>
      <sz val="10"/>
      <color rgb="FFFF0000"/>
      <name val="Sylfaen"/>
      <family val="1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Sylfaen"/>
      <family val="1"/>
      <charset val="204"/>
    </font>
    <font>
      <b/>
      <i/>
      <sz val="12"/>
      <color theme="1"/>
      <name val="Sylfaen"/>
      <family val="1"/>
      <charset val="204"/>
    </font>
    <font>
      <sz val="10"/>
      <color theme="1"/>
      <name val="Calibri"/>
      <family val="2"/>
      <charset val="204"/>
    </font>
    <font>
      <sz val="10"/>
      <name val="Arial"/>
      <family val="2"/>
    </font>
    <font>
      <b/>
      <sz val="10"/>
      <color theme="1"/>
      <name val="Calibri"/>
      <family val="2"/>
      <charset val="204"/>
    </font>
    <font>
      <sz val="10"/>
      <name val="Sylfaen"/>
      <family val="1"/>
      <charset val="204"/>
    </font>
    <font>
      <b/>
      <sz val="10"/>
      <name val="Sylfaen"/>
      <family val="1"/>
      <charset val="204"/>
    </font>
    <font>
      <sz val="8.5"/>
      <color theme="1"/>
      <name val="Sylfaen"/>
      <family val="1"/>
      <charset val="204"/>
    </font>
    <font>
      <b/>
      <sz val="10"/>
      <name val="Sylfaen"/>
      <family val="1"/>
    </font>
    <font>
      <b/>
      <sz val="8.5"/>
      <color theme="1"/>
      <name val="Sylfaen"/>
      <family val="1"/>
      <charset val="204"/>
    </font>
    <font>
      <sz val="10"/>
      <name val="Calibri"/>
      <family val="2"/>
      <charset val="204"/>
    </font>
    <font>
      <b/>
      <sz val="11"/>
      <color theme="1"/>
      <name val="Sylfaen"/>
      <family val="1"/>
    </font>
    <font>
      <sz val="11"/>
      <color theme="1"/>
      <name val="Calibri"/>
      <family val="2"/>
      <scheme val="minor"/>
    </font>
    <font>
      <sz val="9"/>
      <color rgb="FF000000"/>
      <name val="AcadNusx"/>
    </font>
    <font>
      <sz val="9"/>
      <color rgb="FF000000"/>
      <name val="Sylfaen"/>
      <family val="1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sz val="11"/>
      <color theme="1"/>
      <name val="Calibri"/>
      <family val="2"/>
      <charset val="204"/>
      <scheme val="minor"/>
    </font>
    <font>
      <sz val="9"/>
      <name val="AcadNusx"/>
    </font>
    <font>
      <b/>
      <sz val="11"/>
      <name val="AcadNusx"/>
    </font>
    <font>
      <sz val="11"/>
      <name val="AcadMtavr"/>
    </font>
    <font>
      <sz val="8"/>
      <name val="AcadNusx"/>
    </font>
    <font>
      <sz val="10"/>
      <name val="AcadNusx"/>
    </font>
    <font>
      <sz val="9"/>
      <color theme="1"/>
      <name val="AcadNusx"/>
    </font>
    <font>
      <sz val="9"/>
      <color theme="1"/>
      <name val="Cambria"/>
      <family val="1"/>
      <scheme val="major"/>
    </font>
    <font>
      <sz val="11"/>
      <color theme="1"/>
      <name val="AcadNusx"/>
    </font>
    <font>
      <b/>
      <sz val="10"/>
      <color theme="1"/>
      <name val="LitNusx"/>
    </font>
    <font>
      <sz val="12"/>
      <name val="AcadNusx"/>
    </font>
    <font>
      <b/>
      <sz val="10"/>
      <color theme="1"/>
      <name val="AcadNusx"/>
    </font>
    <font>
      <sz val="10"/>
      <color theme="1"/>
      <name val="AcadNusx"/>
    </font>
    <font>
      <sz val="10"/>
      <color theme="1"/>
      <name val="LitNusx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31" fillId="0" borderId="0"/>
    <xf numFmtId="43" fontId="40" fillId="0" borderId="0" applyFont="0" applyFill="0" applyBorder="0" applyAlignment="0" applyProtection="0"/>
    <xf numFmtId="0" fontId="45" fillId="0" borderId="0"/>
    <xf numFmtId="0" fontId="31" fillId="0" borderId="0"/>
    <xf numFmtId="0" fontId="31" fillId="0" borderId="0"/>
    <xf numFmtId="0" fontId="31" fillId="0" borderId="0"/>
  </cellStyleXfs>
  <cellXfs count="3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/>
    <xf numFmtId="2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/>
    <xf numFmtId="49" fontId="3" fillId="2" borderId="1" xfId="0" applyNumberFormat="1" applyFont="1" applyFill="1" applyBorder="1" applyAlignment="1">
      <alignment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horizontal="center" vertical="top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0" fillId="2" borderId="1" xfId="0" applyFont="1" applyFill="1" applyBorder="1" applyAlignment="1">
      <alignment horizontal="left" vertical="center" wrapText="1"/>
    </xf>
    <xf numFmtId="2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left" vertical="center"/>
    </xf>
    <xf numFmtId="1" fontId="3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horizontal="center" vertical="center"/>
    </xf>
    <xf numFmtId="0" fontId="13" fillId="0" borderId="1" xfId="0" applyFont="1" applyBorder="1" applyAlignment="1">
      <alignment vertical="top"/>
    </xf>
    <xf numFmtId="2" fontId="9" fillId="2" borderId="1" xfId="0" applyNumberFormat="1" applyFont="1" applyFill="1" applyBorder="1" applyAlignment="1">
      <alignment horizontal="center" vertical="center"/>
    </xf>
    <xf numFmtId="0" fontId="15" fillId="0" borderId="0" xfId="0" applyFont="1"/>
    <xf numFmtId="0" fontId="9" fillId="2" borderId="0" xfId="0" applyFont="1" applyFill="1" applyAlignment="1">
      <alignment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left" vertical="center" wrapText="1"/>
    </xf>
    <xf numFmtId="0" fontId="9" fillId="2" borderId="0" xfId="0" applyFont="1" applyFill="1" applyAlignment="1">
      <alignment horizontal="center" vertical="center" wrapText="1"/>
    </xf>
    <xf numFmtId="0" fontId="16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left" vertical="center" wrapText="1"/>
    </xf>
    <xf numFmtId="2" fontId="8" fillId="2" borderId="1" xfId="0" applyNumberFormat="1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9" fontId="18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vertical="center" wrapText="1"/>
    </xf>
    <xf numFmtId="9" fontId="17" fillId="2" borderId="1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wrapText="1"/>
    </xf>
    <xf numFmtId="1" fontId="7" fillId="2" borderId="1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/>
    <xf numFmtId="164" fontId="3" fillId="2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wrapText="1"/>
    </xf>
    <xf numFmtId="0" fontId="10" fillId="2" borderId="1" xfId="0" applyFont="1" applyFill="1" applyBorder="1" applyAlignment="1">
      <alignment horizontal="center" vertical="center"/>
    </xf>
    <xf numFmtId="0" fontId="22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horizont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left" vertical="center" wrapText="1"/>
    </xf>
    <xf numFmtId="0" fontId="17" fillId="2" borderId="10" xfId="0" applyFont="1" applyFill="1" applyBorder="1" applyAlignment="1">
      <alignment vertical="center" wrapText="1"/>
    </xf>
    <xf numFmtId="0" fontId="17" fillId="2" borderId="12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left" vertical="center" wrapText="1"/>
    </xf>
    <xf numFmtId="49" fontId="3" fillId="2" borderId="6" xfId="0" applyNumberFormat="1" applyFont="1" applyFill="1" applyBorder="1" applyAlignment="1">
      <alignment horizontal="left" vertical="center" wrapText="1"/>
    </xf>
    <xf numFmtId="49" fontId="3" fillId="2" borderId="2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0" borderId="1" xfId="0" applyFont="1" applyBorder="1"/>
    <xf numFmtId="2" fontId="3" fillId="2" borderId="5" xfId="0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1" fillId="0" borderId="1" xfId="0" applyFont="1" applyBorder="1"/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/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165" fontId="7" fillId="2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wrapText="1"/>
    </xf>
    <xf numFmtId="2" fontId="7" fillId="3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49" fontId="3" fillId="2" borderId="1" xfId="0" applyNumberFormat="1" applyFont="1" applyFill="1" applyBorder="1" applyAlignment="1">
      <alignment horizontal="left" wrapText="1"/>
    </xf>
    <xf numFmtId="2" fontId="10" fillId="2" borderId="1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wrapText="1"/>
    </xf>
    <xf numFmtId="0" fontId="10" fillId="2" borderId="4" xfId="0" applyFont="1" applyFill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49" fontId="4" fillId="3" borderId="1" xfId="0" applyNumberFormat="1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/>
    </xf>
    <xf numFmtId="2" fontId="4" fillId="3" borderId="1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/>
    </xf>
    <xf numFmtId="49" fontId="3" fillId="0" borderId="6" xfId="0" applyNumberFormat="1" applyFont="1" applyBorder="1" applyAlignment="1">
      <alignment horizontal="left" vertical="center" wrapText="1"/>
    </xf>
    <xf numFmtId="49" fontId="4" fillId="0" borderId="6" xfId="0" applyNumberFormat="1" applyFont="1" applyBorder="1" applyAlignment="1">
      <alignment horizontal="left" vertical="center" wrapText="1"/>
    </xf>
    <xf numFmtId="49" fontId="4" fillId="2" borderId="6" xfId="0" applyNumberFormat="1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vertical="center" wrapText="1"/>
    </xf>
    <xf numFmtId="4" fontId="3" fillId="2" borderId="0" xfId="0" applyNumberFormat="1" applyFont="1" applyFill="1" applyAlignment="1">
      <alignment horizontal="left" vertical="center" wrapText="1"/>
    </xf>
    <xf numFmtId="0" fontId="28" fillId="4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/>
    </xf>
    <xf numFmtId="166" fontId="3" fillId="2" borderId="5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2" borderId="5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 wrapText="1"/>
    </xf>
    <xf numFmtId="2" fontId="4" fillId="3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/>
    </xf>
    <xf numFmtId="2" fontId="10" fillId="3" borderId="1" xfId="0" applyNumberFormat="1" applyFont="1" applyFill="1" applyBorder="1" applyAlignment="1">
      <alignment horizontal="center" vertical="center"/>
    </xf>
    <xf numFmtId="0" fontId="0" fillId="0" borderId="1" xfId="0" applyBorder="1"/>
    <xf numFmtId="0" fontId="4" fillId="3" borderId="5" xfId="0" applyFont="1" applyFill="1" applyBorder="1" applyAlignment="1">
      <alignment horizontal="center" vertical="center" wrapText="1"/>
    </xf>
    <xf numFmtId="2" fontId="4" fillId="3" borderId="5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2" fontId="33" fillId="2" borderId="1" xfId="0" applyNumberFormat="1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/>
    </xf>
    <xf numFmtId="164" fontId="4" fillId="3" borderId="1" xfId="0" applyNumberFormat="1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/>
    </xf>
    <xf numFmtId="2" fontId="7" fillId="2" borderId="1" xfId="0" applyNumberFormat="1" applyFont="1" applyFill="1" applyBorder="1" applyAlignment="1">
      <alignment horizontal="center"/>
    </xf>
    <xf numFmtId="164" fontId="3" fillId="2" borderId="1" xfId="0" applyNumberFormat="1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center" vertical="center" wrapText="1"/>
    </xf>
    <xf numFmtId="2" fontId="33" fillId="2" borderId="5" xfId="0" applyNumberFormat="1" applyFont="1" applyFill="1" applyBorder="1" applyAlignment="1">
      <alignment horizontal="center" vertical="center" wrapText="1"/>
    </xf>
    <xf numFmtId="9" fontId="3" fillId="2" borderId="1" xfId="0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4" fontId="4" fillId="4" borderId="1" xfId="0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49" fontId="4" fillId="3" borderId="6" xfId="0" applyNumberFormat="1" applyFont="1" applyFill="1" applyBorder="1" applyAlignment="1">
      <alignment horizontal="left" vertical="center" wrapText="1"/>
    </xf>
    <xf numFmtId="0" fontId="18" fillId="3" borderId="5" xfId="0" applyFont="1" applyFill="1" applyBorder="1" applyAlignment="1">
      <alignment horizontal="center" vertical="center" wrapText="1"/>
    </xf>
    <xf numFmtId="2" fontId="7" fillId="3" borderId="5" xfId="0" applyNumberFormat="1" applyFont="1" applyFill="1" applyBorder="1" applyAlignment="1">
      <alignment horizontal="center" vertical="center" wrapText="1"/>
    </xf>
    <xf numFmtId="2" fontId="3" fillId="0" borderId="5" xfId="0" applyNumberFormat="1" applyFont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4" fillId="0" borderId="1" xfId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wrapText="1"/>
    </xf>
    <xf numFmtId="0" fontId="28" fillId="5" borderId="2" xfId="0" applyFont="1" applyFill="1" applyBorder="1" applyAlignment="1">
      <alignment horizontal="center" vertical="center" wrapText="1"/>
    </xf>
    <xf numFmtId="2" fontId="3" fillId="0" borderId="1" xfId="0" applyNumberFormat="1" applyFont="1" applyBorder="1" applyAlignment="1">
      <alignment vertical="center"/>
    </xf>
    <xf numFmtId="2" fontId="1" fillId="0" borderId="1" xfId="0" applyNumberFormat="1" applyFont="1" applyBorder="1" applyAlignment="1">
      <alignment vertical="center"/>
    </xf>
    <xf numFmtId="0" fontId="4" fillId="2" borderId="1" xfId="0" applyFont="1" applyFill="1" applyBorder="1" applyAlignment="1">
      <alignment horizontal="center" vertical="top"/>
    </xf>
    <xf numFmtId="49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33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/>
    </xf>
    <xf numFmtId="165" fontId="7" fillId="2" borderId="5" xfId="0" applyNumberFormat="1" applyFont="1" applyFill="1" applyBorder="1" applyAlignment="1">
      <alignment horizontal="center" vertical="center"/>
    </xf>
    <xf numFmtId="49" fontId="34" fillId="2" borderId="5" xfId="1" applyNumberFormat="1" applyFont="1" applyFill="1" applyBorder="1" applyAlignment="1">
      <alignment horizontal="center" vertical="top" wrapText="1"/>
    </xf>
    <xf numFmtId="49" fontId="28" fillId="5" borderId="6" xfId="0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49" fontId="4" fillId="6" borderId="6" xfId="0" applyNumberFormat="1" applyFont="1" applyFill="1" applyBorder="1" applyAlignment="1">
      <alignment horizontal="center" vertical="center" wrapText="1"/>
    </xf>
    <xf numFmtId="2" fontId="3" fillId="0" borderId="2" xfId="0" applyNumberFormat="1" applyFont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/>
    </xf>
    <xf numFmtId="4" fontId="3" fillId="4" borderId="1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2" fontId="7" fillId="2" borderId="5" xfId="0" applyNumberFormat="1" applyFont="1" applyFill="1" applyBorder="1" applyAlignment="1">
      <alignment horizontal="center" vertical="center" wrapText="1"/>
    </xf>
    <xf numFmtId="4" fontId="39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0" fontId="10" fillId="0" borderId="4" xfId="0" applyFont="1" applyBorder="1" applyAlignment="1">
      <alignment horizontal="left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left" vertical="center" wrapText="1"/>
    </xf>
    <xf numFmtId="49" fontId="7" fillId="2" borderId="2" xfId="0" applyNumberFormat="1" applyFont="1" applyFill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49" fontId="7" fillId="2" borderId="1" xfId="0" applyNumberFormat="1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2" fontId="7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wrapText="1"/>
    </xf>
    <xf numFmtId="0" fontId="42" fillId="0" borderId="15" xfId="0" applyFont="1" applyBorder="1" applyAlignment="1">
      <alignment horizontal="left" vertical="top" wrapText="1"/>
    </xf>
    <xf numFmtId="0" fontId="42" fillId="0" borderId="15" xfId="0" applyFont="1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0" fontId="43" fillId="0" borderId="15" xfId="0" applyFont="1" applyBorder="1" applyAlignment="1">
      <alignment horizontal="left" vertical="top" wrapText="1"/>
    </xf>
    <xf numFmtId="0" fontId="43" fillId="0" borderId="15" xfId="0" applyFont="1" applyBorder="1" applyAlignment="1">
      <alignment horizontal="center" vertical="top"/>
    </xf>
    <xf numFmtId="0" fontId="43" fillId="0" borderId="15" xfId="0" applyFont="1" applyBorder="1" applyAlignment="1">
      <alignment horizontal="left" vertical="top"/>
    </xf>
    <xf numFmtId="0" fontId="41" fillId="0" borderId="15" xfId="0" applyFont="1" applyBorder="1" applyAlignment="1">
      <alignment horizontal="left" vertical="top"/>
    </xf>
    <xf numFmtId="43" fontId="43" fillId="0" borderId="15" xfId="2" applyFont="1" applyBorder="1" applyAlignment="1">
      <alignment horizontal="left" vertical="top" wrapText="1"/>
    </xf>
    <xf numFmtId="43" fontId="43" fillId="0" borderId="15" xfId="2" applyFont="1" applyBorder="1" applyAlignment="1">
      <alignment horizontal="left" vertical="top"/>
    </xf>
    <xf numFmtId="43" fontId="43" fillId="0" borderId="15" xfId="2" applyFont="1" applyBorder="1" applyAlignment="1">
      <alignment horizontal="center" vertical="top"/>
    </xf>
    <xf numFmtId="43" fontId="0" fillId="0" borderId="15" xfId="2" applyFont="1" applyBorder="1" applyAlignment="1">
      <alignment horizontal="left" vertical="top"/>
    </xf>
    <xf numFmtId="0" fontId="45" fillId="0" borderId="0" xfId="3"/>
    <xf numFmtId="0" fontId="46" fillId="0" borderId="0" xfId="3" applyFont="1" applyAlignment="1">
      <alignment wrapText="1"/>
    </xf>
    <xf numFmtId="0" fontId="48" fillId="0" borderId="0" xfId="3" applyFont="1" applyAlignment="1">
      <alignment horizontal="center"/>
    </xf>
    <xf numFmtId="0" fontId="46" fillId="0" borderId="0" xfId="3" applyFont="1" applyAlignment="1">
      <alignment horizontal="left"/>
    </xf>
    <xf numFmtId="0" fontId="47" fillId="0" borderId="0" xfId="3" applyFont="1" applyAlignment="1">
      <alignment horizontal="left"/>
    </xf>
    <xf numFmtId="0" fontId="49" fillId="0" borderId="0" xfId="3" applyFont="1" applyAlignment="1">
      <alignment horizontal="left"/>
    </xf>
    <xf numFmtId="0" fontId="0" fillId="0" borderId="0" xfId="0" applyAlignment="1">
      <alignment horizontal="left"/>
    </xf>
    <xf numFmtId="0" fontId="46" fillId="0" borderId="0" xfId="3" quotePrefix="1" applyFont="1" applyAlignment="1">
      <alignment horizontal="left"/>
    </xf>
    <xf numFmtId="0" fontId="50" fillId="0" borderId="1" xfId="4" applyFont="1" applyBorder="1" applyAlignment="1">
      <alignment horizontal="center" vertical="center"/>
    </xf>
    <xf numFmtId="0" fontId="46" fillId="0" borderId="1" xfId="4" applyFont="1" applyBorder="1" applyAlignment="1">
      <alignment horizontal="center" vertical="center"/>
    </xf>
    <xf numFmtId="0" fontId="50" fillId="0" borderId="1" xfId="4" applyFont="1" applyBorder="1" applyAlignment="1">
      <alignment horizontal="center" vertical="center" wrapText="1"/>
    </xf>
    <xf numFmtId="0" fontId="50" fillId="0" borderId="1" xfId="5" applyFont="1" applyBorder="1"/>
    <xf numFmtId="0" fontId="51" fillId="0" borderId="1" xfId="0" applyFont="1" applyBorder="1"/>
    <xf numFmtId="0" fontId="53" fillId="0" borderId="1" xfId="0" applyFont="1" applyBorder="1"/>
    <xf numFmtId="0" fontId="46" fillId="0" borderId="1" xfId="5" applyFont="1" applyBorder="1" applyAlignment="1">
      <alignment wrapText="1"/>
    </xf>
    <xf numFmtId="2" fontId="53" fillId="0" borderId="1" xfId="0" applyNumberFormat="1" applyFont="1" applyBorder="1"/>
    <xf numFmtId="2" fontId="0" fillId="0" borderId="1" xfId="0" applyNumberFormat="1" applyBorder="1"/>
    <xf numFmtId="2" fontId="0" fillId="0" borderId="0" xfId="0" applyNumberFormat="1"/>
    <xf numFmtId="0" fontId="46" fillId="0" borderId="1" xfId="5" applyFont="1" applyBorder="1"/>
    <xf numFmtId="0" fontId="50" fillId="0" borderId="0" xfId="5" applyFont="1"/>
    <xf numFmtId="0" fontId="46" fillId="0" borderId="0" xfId="5" applyFont="1"/>
    <xf numFmtId="0" fontId="54" fillId="0" borderId="0" xfId="0" applyFont="1" applyAlignment="1">
      <alignment horizontal="center" vertical="center"/>
    </xf>
    <xf numFmtId="0" fontId="46" fillId="0" borderId="0" xfId="6" applyFont="1"/>
    <xf numFmtId="0" fontId="55" fillId="0" borderId="0" xfId="6" applyFont="1"/>
    <xf numFmtId="0" fontId="56" fillId="0" borderId="0" xfId="0" applyFont="1" applyAlignment="1">
      <alignment horizontal="justify" vertical="center"/>
    </xf>
    <xf numFmtId="0" fontId="56" fillId="0" borderId="0" xfId="0" applyFont="1" applyAlignment="1">
      <alignment vertical="top"/>
    </xf>
    <xf numFmtId="0" fontId="57" fillId="0" borderId="0" xfId="0" applyFont="1" applyAlignment="1">
      <alignment horizontal="justify" vertical="center"/>
    </xf>
    <xf numFmtId="0" fontId="57" fillId="0" borderId="0" xfId="0" applyFont="1" applyAlignment="1">
      <alignment horizontal="left" vertical="center"/>
    </xf>
    <xf numFmtId="0" fontId="58" fillId="0" borderId="0" xfId="0" applyFont="1" applyAlignment="1">
      <alignment vertical="center"/>
    </xf>
    <xf numFmtId="0" fontId="57" fillId="0" borderId="0" xfId="0" applyFont="1" applyAlignment="1">
      <alignment vertical="center"/>
    </xf>
    <xf numFmtId="0" fontId="57" fillId="0" borderId="0" xfId="0" applyFont="1"/>
    <xf numFmtId="0" fontId="57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right" vertical="center" wrapText="1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4" fontId="4" fillId="2" borderId="6" xfId="0" applyNumberFormat="1" applyFont="1" applyFill="1" applyBorder="1" applyAlignment="1">
      <alignment horizontal="right" vertical="center" wrapText="1"/>
    </xf>
    <xf numFmtId="4" fontId="4" fillId="2" borderId="13" xfId="0" applyNumberFormat="1" applyFont="1" applyFill="1" applyBorder="1" applyAlignment="1">
      <alignment horizontal="right" vertic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top" wrapText="1"/>
    </xf>
    <xf numFmtId="0" fontId="4" fillId="2" borderId="14" xfId="0" applyFont="1" applyFill="1" applyBorder="1" applyAlignment="1">
      <alignment horizontal="center" vertical="top" wrapText="1"/>
    </xf>
    <xf numFmtId="0" fontId="4" fillId="2" borderId="5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4" fillId="0" borderId="4" xfId="1" applyFont="1" applyBorder="1" applyAlignment="1">
      <alignment horizontal="center" vertical="top" wrapText="1"/>
    </xf>
    <xf numFmtId="0" fontId="34" fillId="0" borderId="14" xfId="1" applyFont="1" applyBorder="1" applyAlignment="1">
      <alignment horizontal="center" vertical="top" wrapText="1"/>
    </xf>
    <xf numFmtId="0" fontId="4" fillId="2" borderId="4" xfId="0" applyFont="1" applyFill="1" applyBorder="1" applyAlignment="1">
      <alignment horizontal="center" vertical="top"/>
    </xf>
    <xf numFmtId="0" fontId="4" fillId="2" borderId="14" xfId="0" applyFont="1" applyFill="1" applyBorder="1" applyAlignment="1">
      <alignment horizontal="center" vertical="top"/>
    </xf>
    <xf numFmtId="0" fontId="4" fillId="2" borderId="5" xfId="0" applyFont="1" applyFill="1" applyBorder="1" applyAlignment="1">
      <alignment horizontal="center" vertical="top"/>
    </xf>
    <xf numFmtId="0" fontId="4" fillId="2" borderId="9" xfId="0" applyFont="1" applyFill="1" applyBorder="1" applyAlignment="1">
      <alignment horizontal="center" vertical="top" wrapText="1"/>
    </xf>
    <xf numFmtId="0" fontId="4" fillId="2" borderId="11" xfId="0" applyFont="1" applyFill="1" applyBorder="1" applyAlignment="1">
      <alignment horizontal="center" vertical="top" wrapText="1"/>
    </xf>
    <xf numFmtId="0" fontId="4" fillId="2" borderId="13" xfId="0" applyFont="1" applyFill="1" applyBorder="1" applyAlignment="1">
      <alignment horizontal="center" vertical="top" wrapText="1"/>
    </xf>
    <xf numFmtId="0" fontId="10" fillId="2" borderId="4" xfId="0" applyFont="1" applyFill="1" applyBorder="1" applyAlignment="1">
      <alignment horizontal="center" vertical="top"/>
    </xf>
    <xf numFmtId="0" fontId="10" fillId="2" borderId="14" xfId="0" applyFont="1" applyFill="1" applyBorder="1" applyAlignment="1">
      <alignment horizontal="center" vertical="top"/>
    </xf>
    <xf numFmtId="0" fontId="10" fillId="2" borderId="5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top" wrapText="1"/>
    </xf>
    <xf numFmtId="49" fontId="4" fillId="0" borderId="5" xfId="0" applyNumberFormat="1" applyFont="1" applyBorder="1" applyAlignment="1">
      <alignment horizontal="center" vertical="top" wrapText="1"/>
    </xf>
    <xf numFmtId="0" fontId="36" fillId="0" borderId="4" xfId="1" applyFont="1" applyBorder="1" applyAlignment="1">
      <alignment horizontal="center" vertical="top" wrapText="1"/>
    </xf>
    <xf numFmtId="0" fontId="36" fillId="0" borderId="14" xfId="1" applyFont="1" applyBorder="1" applyAlignment="1">
      <alignment horizontal="center" vertical="top" wrapText="1"/>
    </xf>
    <xf numFmtId="49" fontId="36" fillId="0" borderId="14" xfId="1" applyNumberFormat="1" applyFont="1" applyBorder="1" applyAlignment="1">
      <alignment horizontal="center" vertical="top" wrapText="1"/>
    </xf>
    <xf numFmtId="49" fontId="36" fillId="0" borderId="5" xfId="1" applyNumberFormat="1" applyFont="1" applyBorder="1" applyAlignment="1">
      <alignment horizontal="center" vertical="top" wrapText="1"/>
    </xf>
    <xf numFmtId="0" fontId="9" fillId="2" borderId="6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right" vertical="center" wrapText="1"/>
    </xf>
    <xf numFmtId="4" fontId="4" fillId="2" borderId="6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2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42" fillId="0" borderId="15" xfId="0" applyFont="1" applyBorder="1" applyAlignment="1">
      <alignment horizontal="left" vertical="top" wrapText="1"/>
    </xf>
    <xf numFmtId="0" fontId="41" fillId="0" borderId="15" xfId="0" applyFont="1" applyBorder="1" applyAlignment="1">
      <alignment horizontal="left" vertical="top" wrapText="1"/>
    </xf>
    <xf numFmtId="0" fontId="42" fillId="0" borderId="15" xfId="0" applyFont="1" applyBorder="1" applyAlignment="1">
      <alignment horizontal="left" vertical="top"/>
    </xf>
    <xf numFmtId="0" fontId="57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47" fillId="0" borderId="0" xfId="3" applyFont="1"/>
    <xf numFmtId="0" fontId="0" fillId="0" borderId="0" xfId="0"/>
    <xf numFmtId="0" fontId="46" fillId="0" borderId="0" xfId="3" applyFont="1" applyAlignment="1">
      <alignment horizontal="center"/>
    </xf>
    <xf numFmtId="0" fontId="46" fillId="0" borderId="0" xfId="3" applyFont="1" applyAlignment="1">
      <alignment horizontal="left"/>
    </xf>
    <xf numFmtId="0" fontId="47" fillId="0" borderId="0" xfId="3" applyFont="1" applyAlignment="1">
      <alignment horizontal="left"/>
    </xf>
    <xf numFmtId="14" fontId="48" fillId="0" borderId="0" xfId="3" applyNumberFormat="1" applyFont="1" applyAlignment="1">
      <alignment horizontal="left"/>
    </xf>
    <xf numFmtId="0" fontId="0" fillId="0" borderId="0" xfId="0" applyAlignment="1">
      <alignment horizontal="left"/>
    </xf>
    <xf numFmtId="0" fontId="50" fillId="0" borderId="1" xfId="4" applyFont="1" applyBorder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/>
    </xf>
    <xf numFmtId="0" fontId="9" fillId="0" borderId="0" xfId="0" applyFont="1" applyAlignment="1">
      <alignment horizontal="left" vertical="center"/>
    </xf>
    <xf numFmtId="4" fontId="16" fillId="2" borderId="6" xfId="0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horizontal="left"/>
    </xf>
    <xf numFmtId="0" fontId="43" fillId="0" borderId="15" xfId="2" applyNumberFormat="1" applyFont="1" applyBorder="1" applyAlignment="1">
      <alignment horizontal="left" vertical="top" wrapText="1"/>
    </xf>
    <xf numFmtId="0" fontId="43" fillId="0" borderId="15" xfId="2" applyNumberFormat="1" applyFont="1" applyBorder="1" applyAlignment="1">
      <alignment horizontal="left" vertical="top"/>
    </xf>
    <xf numFmtId="0" fontId="0" fillId="0" borderId="15" xfId="2" applyNumberFormat="1" applyFont="1" applyBorder="1" applyAlignment="1">
      <alignment horizontal="left" vertical="top"/>
    </xf>
    <xf numFmtId="0" fontId="44" fillId="0" borderId="15" xfId="2" applyNumberFormat="1" applyFont="1" applyBorder="1" applyAlignment="1">
      <alignment horizontal="left" vertical="top"/>
    </xf>
    <xf numFmtId="0" fontId="44" fillId="0" borderId="15" xfId="2" applyNumberFormat="1" applyFont="1" applyBorder="1" applyAlignment="1">
      <alignment horizontal="left" vertical="top" wrapText="1"/>
    </xf>
  </cellXfs>
  <cellStyles count="7">
    <cellStyle name="Comma" xfId="2" builtinId="3"/>
    <cellStyle name="Normal" xfId="0" builtinId="0"/>
    <cellStyle name="Normal 3" xfId="3" xr:uid="{7C151485-E018-498B-83E1-7ABA6F47BF00}"/>
    <cellStyle name="Normal 3 2" xfId="1" xr:uid="{00000000-0005-0000-0000-000001000000}"/>
    <cellStyle name="Normal 4" xfId="4" xr:uid="{C89EA960-5ABA-4E0D-9368-D1E80252A682}"/>
    <cellStyle name="Normal 5" xfId="5" xr:uid="{95145B30-AD37-4F88-B129-993E5EEB1B37}"/>
    <cellStyle name="Normal 6" xfId="6" xr:uid="{C8AA3A28-851E-4610-AA66-DAD26DD0E154}"/>
  </cellStyles>
  <dxfs count="0"/>
  <tableStyles count="0" defaultTableStyle="TableStyleMedium9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18" Type="http://schemas.openxmlformats.org/officeDocument/2006/relationships/image" Target="../media/image27.jpeg"/><Relationship Id="rId3" Type="http://schemas.openxmlformats.org/officeDocument/2006/relationships/image" Target="../media/image3.jpeg"/><Relationship Id="rId21" Type="http://schemas.openxmlformats.org/officeDocument/2006/relationships/image" Target="../media/image15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26.jpg"/><Relationship Id="rId2" Type="http://schemas.openxmlformats.org/officeDocument/2006/relationships/image" Target="../media/image1.jpeg"/><Relationship Id="rId16" Type="http://schemas.openxmlformats.org/officeDocument/2006/relationships/image" Target="../media/image25.jpg"/><Relationship Id="rId20" Type="http://schemas.openxmlformats.org/officeDocument/2006/relationships/image" Target="../media/image28.png"/><Relationship Id="rId1" Type="http://schemas.openxmlformats.org/officeDocument/2006/relationships/image" Target="../media/image2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24.jpeg"/><Relationship Id="rId23" Type="http://schemas.openxmlformats.org/officeDocument/2006/relationships/image" Target="../media/image17.jpeg"/><Relationship Id="rId10" Type="http://schemas.openxmlformats.org/officeDocument/2006/relationships/image" Target="../media/image10.jpg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23.jpg"/><Relationship Id="rId22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1685636</xdr:colOff>
      <xdr:row>22</xdr:row>
      <xdr:rowOff>61422</xdr:rowOff>
    </xdr:from>
    <xdr:to>
      <xdr:col>2</xdr:col>
      <xdr:colOff>2371436</xdr:colOff>
      <xdr:row>22</xdr:row>
      <xdr:rowOff>1006302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4969" y="4902816"/>
          <a:ext cx="685800" cy="944880"/>
        </a:xfrm>
        <a:prstGeom prst="rect">
          <a:avLst/>
        </a:prstGeom>
      </xdr:spPr>
    </xdr:pic>
    <xdr:clientData/>
  </xdr:twoCellAnchor>
  <xdr:twoCellAnchor editAs="oneCell">
    <xdr:from>
      <xdr:col>2</xdr:col>
      <xdr:colOff>923636</xdr:colOff>
      <xdr:row>22</xdr:row>
      <xdr:rowOff>30788</xdr:rowOff>
    </xdr:from>
    <xdr:to>
      <xdr:col>2</xdr:col>
      <xdr:colOff>1670395</xdr:colOff>
      <xdr:row>22</xdr:row>
      <xdr:rowOff>968048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969" y="4872182"/>
          <a:ext cx="746759" cy="937260"/>
        </a:xfrm>
        <a:prstGeom prst="rect">
          <a:avLst/>
        </a:prstGeom>
      </xdr:spPr>
    </xdr:pic>
    <xdr:clientData/>
  </xdr:twoCellAnchor>
  <xdr:twoCellAnchor editAs="oneCell">
    <xdr:from>
      <xdr:col>2</xdr:col>
      <xdr:colOff>2401915</xdr:colOff>
      <xdr:row>22</xdr:row>
      <xdr:rowOff>61267</xdr:rowOff>
    </xdr:from>
    <xdr:to>
      <xdr:col>2</xdr:col>
      <xdr:colOff>3064855</xdr:colOff>
      <xdr:row>22</xdr:row>
      <xdr:rowOff>1029007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248" y="4902661"/>
          <a:ext cx="662940" cy="967740"/>
        </a:xfrm>
        <a:prstGeom prst="rect">
          <a:avLst/>
        </a:prstGeom>
      </xdr:spPr>
    </xdr:pic>
    <xdr:clientData/>
  </xdr:twoCellAnchor>
  <xdr:twoCellAnchor editAs="oneCell">
    <xdr:from>
      <xdr:col>2</xdr:col>
      <xdr:colOff>3156295</xdr:colOff>
      <xdr:row>22</xdr:row>
      <xdr:rowOff>42442</xdr:rowOff>
    </xdr:from>
    <xdr:to>
      <xdr:col>2</xdr:col>
      <xdr:colOff>3819235</xdr:colOff>
      <xdr:row>22</xdr:row>
      <xdr:rowOff>1048281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5628" y="4883836"/>
          <a:ext cx="662940" cy="1005839"/>
        </a:xfrm>
        <a:prstGeom prst="rect">
          <a:avLst/>
        </a:prstGeom>
      </xdr:spPr>
    </xdr:pic>
    <xdr:clientData/>
  </xdr:twoCellAnchor>
  <xdr:twoCellAnchor editAs="oneCell">
    <xdr:from>
      <xdr:col>2</xdr:col>
      <xdr:colOff>161636</xdr:colOff>
      <xdr:row>27</xdr:row>
      <xdr:rowOff>53879</xdr:rowOff>
    </xdr:from>
    <xdr:to>
      <xdr:col>2</xdr:col>
      <xdr:colOff>2679821</xdr:colOff>
      <xdr:row>27</xdr:row>
      <xdr:rowOff>1463579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969" y="7366000"/>
          <a:ext cx="2518185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2850152</xdr:colOff>
      <xdr:row>27</xdr:row>
      <xdr:rowOff>80774</xdr:rowOff>
    </xdr:from>
    <xdr:to>
      <xdr:col>2</xdr:col>
      <xdr:colOff>4956857</xdr:colOff>
      <xdr:row>27</xdr:row>
      <xdr:rowOff>1498094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85" y="7392895"/>
          <a:ext cx="2106705" cy="1417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26</xdr:row>
      <xdr:rowOff>30788</xdr:rowOff>
    </xdr:from>
    <xdr:to>
      <xdr:col>2</xdr:col>
      <xdr:colOff>2656730</xdr:colOff>
      <xdr:row>26</xdr:row>
      <xdr:rowOff>1440488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7878" y="6473152"/>
          <a:ext cx="2518185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2827061</xdr:colOff>
      <xdr:row>26</xdr:row>
      <xdr:rowOff>57683</xdr:rowOff>
    </xdr:from>
    <xdr:to>
      <xdr:col>2</xdr:col>
      <xdr:colOff>4933766</xdr:colOff>
      <xdr:row>26</xdr:row>
      <xdr:rowOff>1475003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6394" y="6500047"/>
          <a:ext cx="2106705" cy="1417320"/>
        </a:xfrm>
        <a:prstGeom prst="rect">
          <a:avLst/>
        </a:prstGeom>
      </xdr:spPr>
    </xdr:pic>
    <xdr:clientData/>
  </xdr:twoCellAnchor>
  <xdr:twoCellAnchor editAs="oneCell">
    <xdr:from>
      <xdr:col>2</xdr:col>
      <xdr:colOff>838970</xdr:colOff>
      <xdr:row>30</xdr:row>
      <xdr:rowOff>48423</xdr:rowOff>
    </xdr:from>
    <xdr:to>
      <xdr:col>2</xdr:col>
      <xdr:colOff>2020069</xdr:colOff>
      <xdr:row>30</xdr:row>
      <xdr:rowOff>1131454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303" y="9846665"/>
          <a:ext cx="1181099" cy="1083031"/>
        </a:xfrm>
        <a:prstGeom prst="rect">
          <a:avLst/>
        </a:prstGeom>
      </xdr:spPr>
    </xdr:pic>
    <xdr:clientData/>
  </xdr:twoCellAnchor>
  <xdr:twoCellAnchor editAs="oneCell">
    <xdr:from>
      <xdr:col>2</xdr:col>
      <xdr:colOff>2582237</xdr:colOff>
      <xdr:row>30</xdr:row>
      <xdr:rowOff>15394</xdr:rowOff>
    </xdr:from>
    <xdr:to>
      <xdr:col>2</xdr:col>
      <xdr:colOff>3592110</xdr:colOff>
      <xdr:row>30</xdr:row>
      <xdr:rowOff>1123758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570" y="9813636"/>
          <a:ext cx="1009873" cy="1108364"/>
        </a:xfrm>
        <a:prstGeom prst="rect">
          <a:avLst/>
        </a:prstGeom>
      </xdr:spPr>
    </xdr:pic>
    <xdr:clientData/>
  </xdr:twoCellAnchor>
  <xdr:twoCellAnchor editAs="oneCell">
    <xdr:from>
      <xdr:col>2</xdr:col>
      <xdr:colOff>1476170</xdr:colOff>
      <xdr:row>36</xdr:row>
      <xdr:rowOff>23091</xdr:rowOff>
    </xdr:from>
    <xdr:to>
      <xdr:col>2</xdr:col>
      <xdr:colOff>2001950</xdr:colOff>
      <xdr:row>36</xdr:row>
      <xdr:rowOff>1054033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5503" y="12222788"/>
          <a:ext cx="525780" cy="1030942"/>
        </a:xfrm>
        <a:prstGeom prst="rect">
          <a:avLst/>
        </a:prstGeom>
      </xdr:spPr>
    </xdr:pic>
    <xdr:clientData/>
  </xdr:twoCellAnchor>
  <xdr:twoCellAnchor editAs="oneCell">
    <xdr:from>
      <xdr:col>2</xdr:col>
      <xdr:colOff>2083082</xdr:colOff>
      <xdr:row>36</xdr:row>
      <xdr:rowOff>76880</xdr:rowOff>
    </xdr:from>
    <xdr:to>
      <xdr:col>2</xdr:col>
      <xdr:colOff>3477542</xdr:colOff>
      <xdr:row>36</xdr:row>
      <xdr:rowOff>1031172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2415" y="12276577"/>
          <a:ext cx="1394460" cy="954292"/>
        </a:xfrm>
        <a:prstGeom prst="rect">
          <a:avLst/>
        </a:prstGeom>
      </xdr:spPr>
    </xdr:pic>
    <xdr:clientData/>
  </xdr:twoCellAnchor>
  <xdr:twoCellAnchor editAs="oneCell">
    <xdr:from>
      <xdr:col>2</xdr:col>
      <xdr:colOff>192425</xdr:colOff>
      <xdr:row>36</xdr:row>
      <xdr:rowOff>30262</xdr:rowOff>
    </xdr:from>
    <xdr:to>
      <xdr:col>2</xdr:col>
      <xdr:colOff>1449724</xdr:colOff>
      <xdr:row>36</xdr:row>
      <xdr:rowOff>1018173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1758" y="12229959"/>
          <a:ext cx="1257299" cy="987911"/>
        </a:xfrm>
        <a:prstGeom prst="rect">
          <a:avLst/>
        </a:prstGeom>
      </xdr:spPr>
    </xdr:pic>
    <xdr:clientData/>
  </xdr:twoCellAnchor>
  <xdr:twoCellAnchor editAs="oneCell">
    <xdr:from>
      <xdr:col>2</xdr:col>
      <xdr:colOff>3473955</xdr:colOff>
      <xdr:row>36</xdr:row>
      <xdr:rowOff>94809</xdr:rowOff>
    </xdr:from>
    <xdr:to>
      <xdr:col>2</xdr:col>
      <xdr:colOff>4738875</xdr:colOff>
      <xdr:row>36</xdr:row>
      <xdr:rowOff>987694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288" y="12294506"/>
          <a:ext cx="1264920" cy="892885"/>
        </a:xfrm>
        <a:prstGeom prst="rect">
          <a:avLst/>
        </a:prstGeom>
      </xdr:spPr>
    </xdr:pic>
    <xdr:clientData/>
  </xdr:twoCellAnchor>
  <xdr:twoCellAnchor editAs="oneCell">
    <xdr:from>
      <xdr:col>2</xdr:col>
      <xdr:colOff>1693333</xdr:colOff>
      <xdr:row>35</xdr:row>
      <xdr:rowOff>23091</xdr:rowOff>
    </xdr:from>
    <xdr:to>
      <xdr:col>2</xdr:col>
      <xdr:colOff>2778607</xdr:colOff>
      <xdr:row>35</xdr:row>
      <xdr:rowOff>1031394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2666" y="11699394"/>
          <a:ext cx="1085274" cy="1008303"/>
        </a:xfrm>
        <a:prstGeom prst="rect">
          <a:avLst/>
        </a:prstGeom>
      </xdr:spPr>
    </xdr:pic>
    <xdr:clientData/>
  </xdr:twoCellAnchor>
  <xdr:twoCellAnchor editAs="oneCell">
    <xdr:from>
      <xdr:col>2</xdr:col>
      <xdr:colOff>1824182</xdr:colOff>
      <xdr:row>41</xdr:row>
      <xdr:rowOff>53879</xdr:rowOff>
    </xdr:from>
    <xdr:to>
      <xdr:col>2</xdr:col>
      <xdr:colOff>3509820</xdr:colOff>
      <xdr:row>41</xdr:row>
      <xdr:rowOff>1239212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3515" y="14639637"/>
          <a:ext cx="1685638" cy="1185333"/>
        </a:xfrm>
        <a:prstGeom prst="rect">
          <a:avLst/>
        </a:prstGeom>
      </xdr:spPr>
    </xdr:pic>
    <xdr:clientData/>
  </xdr:twoCellAnchor>
  <xdr:twoCellAnchor editAs="oneCell">
    <xdr:from>
      <xdr:col>2</xdr:col>
      <xdr:colOff>1962728</xdr:colOff>
      <xdr:row>45</xdr:row>
      <xdr:rowOff>46182</xdr:rowOff>
    </xdr:from>
    <xdr:to>
      <xdr:col>2</xdr:col>
      <xdr:colOff>3048002</xdr:colOff>
      <xdr:row>45</xdr:row>
      <xdr:rowOff>1054485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2061" y="16525394"/>
          <a:ext cx="1085274" cy="1008303"/>
        </a:xfrm>
        <a:prstGeom prst="rect">
          <a:avLst/>
        </a:prstGeom>
      </xdr:spPr>
    </xdr:pic>
    <xdr:clientData/>
  </xdr:twoCellAnchor>
  <xdr:twoCellAnchor editAs="oneCell">
    <xdr:from>
      <xdr:col>2</xdr:col>
      <xdr:colOff>1924242</xdr:colOff>
      <xdr:row>51</xdr:row>
      <xdr:rowOff>123151</xdr:rowOff>
    </xdr:from>
    <xdr:to>
      <xdr:col>2</xdr:col>
      <xdr:colOff>3186545</xdr:colOff>
      <xdr:row>51</xdr:row>
      <xdr:rowOff>1123757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3575" y="18634363"/>
          <a:ext cx="1262303" cy="1000606"/>
        </a:xfrm>
        <a:prstGeom prst="rect">
          <a:avLst/>
        </a:prstGeom>
      </xdr:spPr>
    </xdr:pic>
    <xdr:clientData/>
  </xdr:twoCellAnchor>
  <xdr:twoCellAnchor editAs="oneCell">
    <xdr:from>
      <xdr:col>2</xdr:col>
      <xdr:colOff>954424</xdr:colOff>
      <xdr:row>64</xdr:row>
      <xdr:rowOff>56414</xdr:rowOff>
    </xdr:from>
    <xdr:to>
      <xdr:col>2</xdr:col>
      <xdr:colOff>2639789</xdr:colOff>
      <xdr:row>64</xdr:row>
      <xdr:rowOff>1159074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757" y="22439202"/>
          <a:ext cx="1685365" cy="1102660"/>
        </a:xfrm>
        <a:prstGeom prst="rect">
          <a:avLst/>
        </a:prstGeom>
      </xdr:spPr>
    </xdr:pic>
    <xdr:clientData/>
  </xdr:twoCellAnchor>
  <xdr:twoCellAnchor editAs="oneCell">
    <xdr:from>
      <xdr:col>2</xdr:col>
      <xdr:colOff>2815728</xdr:colOff>
      <xdr:row>64</xdr:row>
      <xdr:rowOff>53879</xdr:rowOff>
    </xdr:from>
    <xdr:to>
      <xdr:col>2</xdr:col>
      <xdr:colOff>4115610</xdr:colOff>
      <xdr:row>64</xdr:row>
      <xdr:rowOff>1165502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5061" y="22436667"/>
          <a:ext cx="1299882" cy="1111623"/>
        </a:xfrm>
        <a:prstGeom prst="rect">
          <a:avLst/>
        </a:prstGeom>
      </xdr:spPr>
    </xdr:pic>
    <xdr:clientData/>
  </xdr:twoCellAnchor>
  <xdr:twoCellAnchor editAs="oneCell">
    <xdr:from>
      <xdr:col>2</xdr:col>
      <xdr:colOff>1593273</xdr:colOff>
      <xdr:row>62</xdr:row>
      <xdr:rowOff>61576</xdr:rowOff>
    </xdr:from>
    <xdr:to>
      <xdr:col>2</xdr:col>
      <xdr:colOff>2971031</xdr:colOff>
      <xdr:row>62</xdr:row>
      <xdr:rowOff>1485516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606" y="21705455"/>
          <a:ext cx="1377758" cy="1423940"/>
        </a:xfrm>
        <a:prstGeom prst="rect">
          <a:avLst/>
        </a:prstGeom>
      </xdr:spPr>
    </xdr:pic>
    <xdr:clientData/>
  </xdr:twoCellAnchor>
  <xdr:twoCellAnchor editAs="oneCell">
    <xdr:from>
      <xdr:col>2</xdr:col>
      <xdr:colOff>261698</xdr:colOff>
      <xdr:row>63</xdr:row>
      <xdr:rowOff>61575</xdr:rowOff>
    </xdr:from>
    <xdr:to>
      <xdr:col>2</xdr:col>
      <xdr:colOff>1639456</xdr:colOff>
      <xdr:row>63</xdr:row>
      <xdr:rowOff>1485515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1031" y="23252545"/>
          <a:ext cx="1377758" cy="1423940"/>
        </a:xfrm>
        <a:prstGeom prst="rect">
          <a:avLst/>
        </a:prstGeom>
      </xdr:spPr>
    </xdr:pic>
    <xdr:clientData/>
  </xdr:twoCellAnchor>
  <xdr:twoCellAnchor editAs="oneCell">
    <xdr:from>
      <xdr:col>2</xdr:col>
      <xdr:colOff>1716425</xdr:colOff>
      <xdr:row>63</xdr:row>
      <xdr:rowOff>92364</xdr:rowOff>
    </xdr:from>
    <xdr:to>
      <xdr:col>2</xdr:col>
      <xdr:colOff>3040304</xdr:colOff>
      <xdr:row>63</xdr:row>
      <xdr:rowOff>1393151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758" y="23283334"/>
          <a:ext cx="1323879" cy="1300787"/>
        </a:xfrm>
        <a:prstGeom prst="rect">
          <a:avLst/>
        </a:prstGeom>
      </xdr:spPr>
    </xdr:pic>
    <xdr:clientData/>
  </xdr:twoCellAnchor>
  <xdr:twoCellAnchor editAs="oneCell">
    <xdr:from>
      <xdr:col>2</xdr:col>
      <xdr:colOff>3124970</xdr:colOff>
      <xdr:row>63</xdr:row>
      <xdr:rowOff>69271</xdr:rowOff>
    </xdr:from>
    <xdr:to>
      <xdr:col>2</xdr:col>
      <xdr:colOff>4879880</xdr:colOff>
      <xdr:row>63</xdr:row>
      <xdr:rowOff>1393150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4303" y="23260241"/>
          <a:ext cx="1754910" cy="1323879"/>
        </a:xfrm>
        <a:prstGeom prst="rect">
          <a:avLst/>
        </a:prstGeom>
      </xdr:spPr>
    </xdr:pic>
    <xdr:clientData/>
  </xdr:twoCellAnchor>
  <xdr:twoCellAnchor editAs="oneCell">
    <xdr:from>
      <xdr:col>2</xdr:col>
      <xdr:colOff>1493212</xdr:colOff>
      <xdr:row>72</xdr:row>
      <xdr:rowOff>84667</xdr:rowOff>
    </xdr:from>
    <xdr:to>
      <xdr:col>2</xdr:col>
      <xdr:colOff>2636212</xdr:colOff>
      <xdr:row>72</xdr:row>
      <xdr:rowOff>1152812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2545" y="28717394"/>
          <a:ext cx="1143000" cy="1068145"/>
        </a:xfrm>
        <a:prstGeom prst="rect">
          <a:avLst/>
        </a:prstGeom>
      </xdr:spPr>
    </xdr:pic>
    <xdr:clientData/>
  </xdr:twoCellAnchor>
  <xdr:twoCellAnchor editAs="oneCell">
    <xdr:from>
      <xdr:col>2</xdr:col>
      <xdr:colOff>2759477</xdr:colOff>
      <xdr:row>72</xdr:row>
      <xdr:rowOff>89599</xdr:rowOff>
    </xdr:from>
    <xdr:to>
      <xdr:col>2</xdr:col>
      <xdr:colOff>3689116</xdr:colOff>
      <xdr:row>72</xdr:row>
      <xdr:rowOff>1141159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8810" y="28722326"/>
          <a:ext cx="929639" cy="1051560"/>
        </a:xfrm>
        <a:prstGeom prst="rect">
          <a:avLst/>
        </a:prstGeom>
      </xdr:spPr>
    </xdr:pic>
    <xdr:clientData/>
  </xdr:twoCellAnchor>
  <xdr:twoCellAnchor editAs="oneCell">
    <xdr:from>
      <xdr:col>2</xdr:col>
      <xdr:colOff>292485</xdr:colOff>
      <xdr:row>77</xdr:row>
      <xdr:rowOff>61575</xdr:rowOff>
    </xdr:from>
    <xdr:to>
      <xdr:col>2</xdr:col>
      <xdr:colOff>1858171</xdr:colOff>
      <xdr:row>77</xdr:row>
      <xdr:rowOff>1532235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1818" y="30995696"/>
          <a:ext cx="1565686" cy="1470660"/>
        </a:xfrm>
        <a:prstGeom prst="rect">
          <a:avLst/>
        </a:prstGeom>
      </xdr:spPr>
    </xdr:pic>
    <xdr:clientData/>
  </xdr:twoCellAnchor>
  <xdr:twoCellAnchor editAs="oneCell">
    <xdr:from>
      <xdr:col>2</xdr:col>
      <xdr:colOff>1934819</xdr:colOff>
      <xdr:row>77</xdr:row>
      <xdr:rowOff>69195</xdr:rowOff>
    </xdr:from>
    <xdr:to>
      <xdr:col>2</xdr:col>
      <xdr:colOff>3059441</xdr:colOff>
      <xdr:row>77</xdr:row>
      <xdr:rowOff>1514306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4152" y="31003316"/>
          <a:ext cx="1124622" cy="1445111"/>
        </a:xfrm>
        <a:prstGeom prst="rect">
          <a:avLst/>
        </a:prstGeom>
      </xdr:spPr>
    </xdr:pic>
    <xdr:clientData/>
  </xdr:twoCellAnchor>
  <xdr:twoCellAnchor editAs="oneCell">
    <xdr:from>
      <xdr:col>2</xdr:col>
      <xdr:colOff>3123540</xdr:colOff>
      <xdr:row>77</xdr:row>
      <xdr:rowOff>61575</xdr:rowOff>
    </xdr:from>
    <xdr:to>
      <xdr:col>2</xdr:col>
      <xdr:colOff>4843418</xdr:colOff>
      <xdr:row>77</xdr:row>
      <xdr:rowOff>1523270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2873" y="30995696"/>
          <a:ext cx="1719878" cy="1461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640080</xdr:colOff>
      <xdr:row>68</xdr:row>
      <xdr:rowOff>68580</xdr:rowOff>
    </xdr:from>
    <xdr:to>
      <xdr:col>2</xdr:col>
      <xdr:colOff>1386839</xdr:colOff>
      <xdr:row>68</xdr:row>
      <xdr:rowOff>1005840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2660" y="15453360"/>
          <a:ext cx="746759" cy="937260"/>
        </a:xfrm>
        <a:prstGeom prst="rect">
          <a:avLst/>
        </a:prstGeom>
      </xdr:spPr>
    </xdr:pic>
    <xdr:clientData/>
  </xdr:twoCellAnchor>
  <xdr:twoCellAnchor editAs="oneCell">
    <xdr:from>
      <xdr:col>2</xdr:col>
      <xdr:colOff>1402080</xdr:colOff>
      <xdr:row>68</xdr:row>
      <xdr:rowOff>83820</xdr:rowOff>
    </xdr:from>
    <xdr:to>
      <xdr:col>2</xdr:col>
      <xdr:colOff>2087880</xdr:colOff>
      <xdr:row>68</xdr:row>
      <xdr:rowOff>1028700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5468600"/>
          <a:ext cx="685800" cy="944880"/>
        </a:xfrm>
        <a:prstGeom prst="rect">
          <a:avLst/>
        </a:prstGeom>
      </xdr:spPr>
    </xdr:pic>
    <xdr:clientData/>
  </xdr:twoCellAnchor>
  <xdr:twoCellAnchor editAs="oneCell">
    <xdr:from>
      <xdr:col>2</xdr:col>
      <xdr:colOff>2118359</xdr:colOff>
      <xdr:row>68</xdr:row>
      <xdr:rowOff>60959</xdr:rowOff>
    </xdr:from>
    <xdr:to>
      <xdr:col>2</xdr:col>
      <xdr:colOff>2781299</xdr:colOff>
      <xdr:row>68</xdr:row>
      <xdr:rowOff>1028699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0939" y="15445739"/>
          <a:ext cx="662940" cy="967740"/>
        </a:xfrm>
        <a:prstGeom prst="rect">
          <a:avLst/>
        </a:prstGeom>
      </xdr:spPr>
    </xdr:pic>
    <xdr:clientData/>
  </xdr:twoCellAnchor>
  <xdr:twoCellAnchor editAs="oneCell">
    <xdr:from>
      <xdr:col>2</xdr:col>
      <xdr:colOff>2880359</xdr:colOff>
      <xdr:row>68</xdr:row>
      <xdr:rowOff>34514</xdr:rowOff>
    </xdr:from>
    <xdr:to>
      <xdr:col>2</xdr:col>
      <xdr:colOff>3543299</xdr:colOff>
      <xdr:row>68</xdr:row>
      <xdr:rowOff>1040353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939" y="15419294"/>
          <a:ext cx="662940" cy="1005839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74</xdr:row>
      <xdr:rowOff>53340</xdr:rowOff>
    </xdr:from>
    <xdr:to>
      <xdr:col>2</xdr:col>
      <xdr:colOff>2670585</xdr:colOff>
      <xdr:row>74</xdr:row>
      <xdr:rowOff>1463040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6440" y="17594580"/>
          <a:ext cx="2518185" cy="1409700"/>
        </a:xfrm>
        <a:prstGeom prst="rect">
          <a:avLst/>
        </a:prstGeom>
      </xdr:spPr>
    </xdr:pic>
    <xdr:clientData/>
  </xdr:twoCellAnchor>
  <xdr:twoCellAnchor editAs="oneCell">
    <xdr:from>
      <xdr:col>2</xdr:col>
      <xdr:colOff>2840916</xdr:colOff>
      <xdr:row>74</xdr:row>
      <xdr:rowOff>80235</xdr:rowOff>
    </xdr:from>
    <xdr:to>
      <xdr:col>2</xdr:col>
      <xdr:colOff>4947621</xdr:colOff>
      <xdr:row>74</xdr:row>
      <xdr:rowOff>1497555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4956" y="17621475"/>
          <a:ext cx="2106705" cy="1417320"/>
        </a:xfrm>
        <a:prstGeom prst="rect">
          <a:avLst/>
        </a:prstGeom>
      </xdr:spPr>
    </xdr:pic>
    <xdr:clientData/>
  </xdr:twoCellAnchor>
  <xdr:twoCellAnchor editAs="oneCell">
    <xdr:from>
      <xdr:col>2</xdr:col>
      <xdr:colOff>1303020</xdr:colOff>
      <xdr:row>77</xdr:row>
      <xdr:rowOff>47962</xdr:rowOff>
    </xdr:from>
    <xdr:to>
      <xdr:col>2</xdr:col>
      <xdr:colOff>2484119</xdr:colOff>
      <xdr:row>77</xdr:row>
      <xdr:rowOff>1061422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7060" y="19509442"/>
          <a:ext cx="1181099" cy="1013460"/>
        </a:xfrm>
        <a:prstGeom prst="rect">
          <a:avLst/>
        </a:prstGeom>
      </xdr:spPr>
    </xdr:pic>
    <xdr:clientData/>
  </xdr:twoCellAnchor>
  <xdr:twoCellAnchor editAs="oneCell">
    <xdr:from>
      <xdr:col>2</xdr:col>
      <xdr:colOff>2646044</xdr:colOff>
      <xdr:row>77</xdr:row>
      <xdr:rowOff>45720</xdr:rowOff>
    </xdr:from>
    <xdr:to>
      <xdr:col>2</xdr:col>
      <xdr:colOff>3655917</xdr:colOff>
      <xdr:row>77</xdr:row>
      <xdr:rowOff>1050825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4" y="19507200"/>
          <a:ext cx="1009873" cy="1005105"/>
        </a:xfrm>
        <a:prstGeom prst="rect">
          <a:avLst/>
        </a:prstGeom>
      </xdr:spPr>
    </xdr:pic>
    <xdr:clientData/>
  </xdr:twoCellAnchor>
  <xdr:twoCellAnchor editAs="oneCell">
    <xdr:from>
      <xdr:col>2</xdr:col>
      <xdr:colOff>1542825</xdr:colOff>
      <xdr:row>87</xdr:row>
      <xdr:rowOff>121919</xdr:rowOff>
    </xdr:from>
    <xdr:to>
      <xdr:col>2</xdr:col>
      <xdr:colOff>2068605</xdr:colOff>
      <xdr:row>87</xdr:row>
      <xdr:rowOff>1152861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865" y="24033479"/>
          <a:ext cx="525780" cy="1030942"/>
        </a:xfrm>
        <a:prstGeom prst="rect">
          <a:avLst/>
        </a:prstGeom>
      </xdr:spPr>
    </xdr:pic>
    <xdr:clientData/>
  </xdr:twoCellAnchor>
  <xdr:twoCellAnchor editAs="oneCell">
    <xdr:from>
      <xdr:col>2</xdr:col>
      <xdr:colOff>2149737</xdr:colOff>
      <xdr:row>87</xdr:row>
      <xdr:rowOff>175708</xdr:rowOff>
    </xdr:from>
    <xdr:to>
      <xdr:col>2</xdr:col>
      <xdr:colOff>3544197</xdr:colOff>
      <xdr:row>87</xdr:row>
      <xdr:rowOff>1130000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3777" y="24087268"/>
          <a:ext cx="1394460" cy="954292"/>
        </a:xfrm>
        <a:prstGeom prst="rect">
          <a:avLst/>
        </a:prstGeom>
      </xdr:spPr>
    </xdr:pic>
    <xdr:clientData/>
  </xdr:twoCellAnchor>
  <xdr:twoCellAnchor editAs="oneCell">
    <xdr:from>
      <xdr:col>2</xdr:col>
      <xdr:colOff>259080</xdr:colOff>
      <xdr:row>87</xdr:row>
      <xdr:rowOff>129090</xdr:rowOff>
    </xdr:from>
    <xdr:to>
      <xdr:col>2</xdr:col>
      <xdr:colOff>1516379</xdr:colOff>
      <xdr:row>87</xdr:row>
      <xdr:rowOff>1117001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3120" y="24040650"/>
          <a:ext cx="1257299" cy="987911"/>
        </a:xfrm>
        <a:prstGeom prst="rect">
          <a:avLst/>
        </a:prstGeom>
      </xdr:spPr>
    </xdr:pic>
    <xdr:clientData/>
  </xdr:twoCellAnchor>
  <xdr:twoCellAnchor editAs="oneCell">
    <xdr:from>
      <xdr:col>2</xdr:col>
      <xdr:colOff>3540610</xdr:colOff>
      <xdr:row>87</xdr:row>
      <xdr:rowOff>193637</xdr:rowOff>
    </xdr:from>
    <xdr:to>
      <xdr:col>2</xdr:col>
      <xdr:colOff>4805530</xdr:colOff>
      <xdr:row>87</xdr:row>
      <xdr:rowOff>1086522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650" y="24105197"/>
          <a:ext cx="1264920" cy="892885"/>
        </a:xfrm>
        <a:prstGeom prst="rect">
          <a:avLst/>
        </a:prstGeom>
      </xdr:spPr>
    </xdr:pic>
    <xdr:clientData/>
  </xdr:twoCellAnchor>
  <xdr:twoCellAnchor editAs="oneCell">
    <xdr:from>
      <xdr:col>2</xdr:col>
      <xdr:colOff>1952512</xdr:colOff>
      <xdr:row>86</xdr:row>
      <xdr:rowOff>60960</xdr:rowOff>
    </xdr:from>
    <xdr:to>
      <xdr:col>2</xdr:col>
      <xdr:colOff>3548230</xdr:colOff>
      <xdr:row>86</xdr:row>
      <xdr:rowOff>1369808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6552" y="22501860"/>
          <a:ext cx="1595718" cy="1308848"/>
        </a:xfrm>
        <a:prstGeom prst="rect">
          <a:avLst/>
        </a:prstGeom>
      </xdr:spPr>
    </xdr:pic>
    <xdr:clientData/>
  </xdr:twoCellAnchor>
  <xdr:twoCellAnchor editAs="oneCell">
    <xdr:from>
      <xdr:col>2</xdr:col>
      <xdr:colOff>1481865</xdr:colOff>
      <xdr:row>94</xdr:row>
      <xdr:rowOff>45719</xdr:rowOff>
    </xdr:from>
    <xdr:to>
      <xdr:col>2</xdr:col>
      <xdr:colOff>2007645</xdr:colOff>
      <xdr:row>94</xdr:row>
      <xdr:rowOff>1076661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5905" y="27790139"/>
          <a:ext cx="525780" cy="1030942"/>
        </a:xfrm>
        <a:prstGeom prst="rect">
          <a:avLst/>
        </a:prstGeom>
      </xdr:spPr>
    </xdr:pic>
    <xdr:clientData/>
  </xdr:twoCellAnchor>
  <xdr:twoCellAnchor editAs="oneCell">
    <xdr:from>
      <xdr:col>2</xdr:col>
      <xdr:colOff>2088777</xdr:colOff>
      <xdr:row>94</xdr:row>
      <xdr:rowOff>99508</xdr:rowOff>
    </xdr:from>
    <xdr:to>
      <xdr:col>2</xdr:col>
      <xdr:colOff>3483237</xdr:colOff>
      <xdr:row>94</xdr:row>
      <xdr:rowOff>1053800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2817" y="27843928"/>
          <a:ext cx="1394460" cy="954292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</xdr:colOff>
      <xdr:row>94</xdr:row>
      <xdr:rowOff>52890</xdr:rowOff>
    </xdr:from>
    <xdr:to>
      <xdr:col>2</xdr:col>
      <xdr:colOff>1455419</xdr:colOff>
      <xdr:row>94</xdr:row>
      <xdr:rowOff>1040801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52160" y="27797310"/>
          <a:ext cx="1257299" cy="987911"/>
        </a:xfrm>
        <a:prstGeom prst="rect">
          <a:avLst/>
        </a:prstGeom>
      </xdr:spPr>
    </xdr:pic>
    <xdr:clientData/>
  </xdr:twoCellAnchor>
  <xdr:twoCellAnchor editAs="oneCell">
    <xdr:from>
      <xdr:col>2</xdr:col>
      <xdr:colOff>3479650</xdr:colOff>
      <xdr:row>94</xdr:row>
      <xdr:rowOff>117437</xdr:rowOff>
    </xdr:from>
    <xdr:to>
      <xdr:col>2</xdr:col>
      <xdr:colOff>4744570</xdr:colOff>
      <xdr:row>94</xdr:row>
      <xdr:rowOff>1010322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3690" y="27861857"/>
          <a:ext cx="1264920" cy="892885"/>
        </a:xfrm>
        <a:prstGeom prst="rect">
          <a:avLst/>
        </a:prstGeom>
      </xdr:spPr>
    </xdr:pic>
    <xdr:clientData/>
  </xdr:twoCellAnchor>
  <xdr:twoCellAnchor editAs="oneCell">
    <xdr:from>
      <xdr:col>2</xdr:col>
      <xdr:colOff>1617232</xdr:colOff>
      <xdr:row>93</xdr:row>
      <xdr:rowOff>114300</xdr:rowOff>
    </xdr:from>
    <xdr:to>
      <xdr:col>2</xdr:col>
      <xdr:colOff>3212950</xdr:colOff>
      <xdr:row>93</xdr:row>
      <xdr:rowOff>1423148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1272" y="26372820"/>
          <a:ext cx="1595718" cy="1308848"/>
        </a:xfrm>
        <a:prstGeom prst="rect">
          <a:avLst/>
        </a:prstGeom>
      </xdr:spPr>
    </xdr:pic>
    <xdr:clientData/>
  </xdr:twoCellAnchor>
  <xdr:twoCellAnchor editAs="oneCell">
    <xdr:from>
      <xdr:col>2</xdr:col>
      <xdr:colOff>1701052</xdr:colOff>
      <xdr:row>101</xdr:row>
      <xdr:rowOff>53340</xdr:rowOff>
    </xdr:from>
    <xdr:to>
      <xdr:col>2</xdr:col>
      <xdr:colOff>3296770</xdr:colOff>
      <xdr:row>101</xdr:row>
      <xdr:rowOff>1362188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5092" y="29984700"/>
          <a:ext cx="1595718" cy="1308848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111</xdr:row>
      <xdr:rowOff>83820</xdr:rowOff>
    </xdr:from>
    <xdr:to>
      <xdr:col>2</xdr:col>
      <xdr:colOff>1908586</xdr:colOff>
      <xdr:row>111</xdr:row>
      <xdr:rowOff>1554480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6940" y="33284160"/>
          <a:ext cx="1565686" cy="1470660"/>
        </a:xfrm>
        <a:prstGeom prst="rect">
          <a:avLst/>
        </a:prstGeom>
      </xdr:spPr>
    </xdr:pic>
    <xdr:clientData/>
  </xdr:twoCellAnchor>
  <xdr:twoCellAnchor editAs="oneCell">
    <xdr:from>
      <xdr:col>2</xdr:col>
      <xdr:colOff>1985234</xdr:colOff>
      <xdr:row>111</xdr:row>
      <xdr:rowOff>91440</xdr:rowOff>
    </xdr:from>
    <xdr:to>
      <xdr:col>2</xdr:col>
      <xdr:colOff>3109856</xdr:colOff>
      <xdr:row>111</xdr:row>
      <xdr:rowOff>1536551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274" y="33291780"/>
          <a:ext cx="1124622" cy="1445111"/>
        </a:xfrm>
        <a:prstGeom prst="rect">
          <a:avLst/>
        </a:prstGeom>
      </xdr:spPr>
    </xdr:pic>
    <xdr:clientData/>
  </xdr:twoCellAnchor>
  <xdr:twoCellAnchor editAs="oneCell">
    <xdr:from>
      <xdr:col>2</xdr:col>
      <xdr:colOff>3173955</xdr:colOff>
      <xdr:row>111</xdr:row>
      <xdr:rowOff>83820</xdr:rowOff>
    </xdr:from>
    <xdr:to>
      <xdr:col>2</xdr:col>
      <xdr:colOff>4893833</xdr:colOff>
      <xdr:row>111</xdr:row>
      <xdr:rowOff>1545515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7995" y="33284160"/>
          <a:ext cx="1719878" cy="1461695"/>
        </a:xfrm>
        <a:prstGeom prst="rect">
          <a:avLst/>
        </a:prstGeom>
      </xdr:spPr>
    </xdr:pic>
    <xdr:clientData/>
  </xdr:twoCellAnchor>
  <xdr:twoCellAnchor editAs="oneCell">
    <xdr:from>
      <xdr:col>2</xdr:col>
      <xdr:colOff>1356360</xdr:colOff>
      <xdr:row>117</xdr:row>
      <xdr:rowOff>83820</xdr:rowOff>
    </xdr:from>
    <xdr:to>
      <xdr:col>2</xdr:col>
      <xdr:colOff>3436172</xdr:colOff>
      <xdr:row>117</xdr:row>
      <xdr:rowOff>1643679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35829240"/>
          <a:ext cx="2079812" cy="1559859"/>
        </a:xfrm>
        <a:prstGeom prst="rect">
          <a:avLst/>
        </a:prstGeom>
      </xdr:spPr>
    </xdr:pic>
    <xdr:clientData/>
  </xdr:twoCellAnchor>
  <xdr:twoCellAnchor editAs="oneCell">
    <xdr:from>
      <xdr:col>2</xdr:col>
      <xdr:colOff>1097280</xdr:colOff>
      <xdr:row>123</xdr:row>
      <xdr:rowOff>22860</xdr:rowOff>
    </xdr:from>
    <xdr:to>
      <xdr:col>2</xdr:col>
      <xdr:colOff>2521372</xdr:colOff>
      <xdr:row>123</xdr:row>
      <xdr:rowOff>1645920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320" y="38587680"/>
          <a:ext cx="1424092" cy="162306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2571127</xdr:colOff>
      <xdr:row>123</xdr:row>
      <xdr:rowOff>25349</xdr:rowOff>
    </xdr:from>
    <xdr:to>
      <xdr:col>2</xdr:col>
      <xdr:colOff>4232287</xdr:colOff>
      <xdr:row>123</xdr:row>
      <xdr:rowOff>1645022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5167" y="38590169"/>
          <a:ext cx="1661160" cy="1619673"/>
        </a:xfrm>
        <a:prstGeom prst="rect">
          <a:avLst/>
        </a:prstGeom>
      </xdr:spPr>
    </xdr:pic>
    <xdr:clientData/>
  </xdr:twoCellAnchor>
  <xdr:twoCellAnchor editAs="oneCell">
    <xdr:from>
      <xdr:col>2</xdr:col>
      <xdr:colOff>1112520</xdr:colOff>
      <xdr:row>135</xdr:row>
      <xdr:rowOff>60960</xdr:rowOff>
    </xdr:from>
    <xdr:to>
      <xdr:col>2</xdr:col>
      <xdr:colOff>3828827</xdr:colOff>
      <xdr:row>135</xdr:row>
      <xdr:rowOff>1997336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6560" y="42854880"/>
          <a:ext cx="2716307" cy="1936376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1714500</xdr:colOff>
      <xdr:row>143</xdr:row>
      <xdr:rowOff>53340</xdr:rowOff>
    </xdr:from>
    <xdr:to>
      <xdr:col>2</xdr:col>
      <xdr:colOff>3202642</xdr:colOff>
      <xdr:row>143</xdr:row>
      <xdr:rowOff>1129106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8540" y="46344840"/>
          <a:ext cx="1488142" cy="1075766"/>
        </a:xfrm>
        <a:prstGeom prst="rect">
          <a:avLst/>
        </a:prstGeom>
      </xdr:spPr>
    </xdr:pic>
    <xdr:clientData/>
  </xdr:twoCellAnchor>
  <xdr:twoCellAnchor editAs="oneCell">
    <xdr:from>
      <xdr:col>2</xdr:col>
      <xdr:colOff>1737360</xdr:colOff>
      <xdr:row>154</xdr:row>
      <xdr:rowOff>60960</xdr:rowOff>
    </xdr:from>
    <xdr:to>
      <xdr:col>2</xdr:col>
      <xdr:colOff>3225502</xdr:colOff>
      <xdr:row>154</xdr:row>
      <xdr:rowOff>1136726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49552860"/>
          <a:ext cx="1488142" cy="1075766"/>
        </a:xfrm>
        <a:prstGeom prst="rect">
          <a:avLst/>
        </a:prstGeom>
      </xdr:spPr>
    </xdr:pic>
    <xdr:clientData/>
  </xdr:twoCellAnchor>
  <xdr:twoCellAnchor editAs="oneCell">
    <xdr:from>
      <xdr:col>2</xdr:col>
      <xdr:colOff>883920</xdr:colOff>
      <xdr:row>216</xdr:row>
      <xdr:rowOff>56029</xdr:rowOff>
    </xdr:from>
    <xdr:to>
      <xdr:col>2</xdr:col>
      <xdr:colOff>2569285</xdr:colOff>
      <xdr:row>216</xdr:row>
      <xdr:rowOff>1158689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" y="63073429"/>
          <a:ext cx="1685365" cy="1102660"/>
        </a:xfrm>
        <a:prstGeom prst="rect">
          <a:avLst/>
        </a:prstGeom>
      </xdr:spPr>
    </xdr:pic>
    <xdr:clientData/>
  </xdr:twoCellAnchor>
  <xdr:twoCellAnchor editAs="oneCell">
    <xdr:from>
      <xdr:col>2</xdr:col>
      <xdr:colOff>2722133</xdr:colOff>
      <xdr:row>216</xdr:row>
      <xdr:rowOff>38100</xdr:rowOff>
    </xdr:from>
    <xdr:to>
      <xdr:col>2</xdr:col>
      <xdr:colOff>4022015</xdr:colOff>
      <xdr:row>216</xdr:row>
      <xdr:rowOff>1149723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6173" y="63055500"/>
          <a:ext cx="1299882" cy="1111623"/>
        </a:xfrm>
        <a:prstGeom prst="rect">
          <a:avLst/>
        </a:prstGeom>
      </xdr:spPr>
    </xdr:pic>
    <xdr:clientData/>
  </xdr:twoCellAnchor>
  <xdr:twoCellAnchor editAs="oneCell">
    <xdr:from>
      <xdr:col>2</xdr:col>
      <xdr:colOff>883920</xdr:colOff>
      <xdr:row>217</xdr:row>
      <xdr:rowOff>63649</xdr:rowOff>
    </xdr:from>
    <xdr:to>
      <xdr:col>2</xdr:col>
      <xdr:colOff>2569285</xdr:colOff>
      <xdr:row>217</xdr:row>
      <xdr:rowOff>1166309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960" y="64292629"/>
          <a:ext cx="1685365" cy="1102660"/>
        </a:xfrm>
        <a:prstGeom prst="rect">
          <a:avLst/>
        </a:prstGeom>
      </xdr:spPr>
    </xdr:pic>
    <xdr:clientData/>
  </xdr:twoCellAnchor>
  <xdr:twoCellAnchor editAs="oneCell">
    <xdr:from>
      <xdr:col>2</xdr:col>
      <xdr:colOff>2722133</xdr:colOff>
      <xdr:row>217</xdr:row>
      <xdr:rowOff>45720</xdr:rowOff>
    </xdr:from>
    <xdr:to>
      <xdr:col>2</xdr:col>
      <xdr:colOff>4022015</xdr:colOff>
      <xdr:row>217</xdr:row>
      <xdr:rowOff>1157343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6173" y="64274700"/>
          <a:ext cx="1299882" cy="11116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CCFF"/>
  </sheetPr>
  <dimension ref="A2:C66"/>
  <sheetViews>
    <sheetView tabSelected="1" workbookViewId="0">
      <selection activeCell="B5" sqref="B5"/>
    </sheetView>
  </sheetViews>
  <sheetFormatPr defaultColWidth="9.08984375" defaultRowHeight="14.5"/>
  <cols>
    <col min="1" max="1" width="4.6328125" style="1" customWidth="1"/>
    <col min="2" max="2" width="97.81640625" style="1" customWidth="1"/>
    <col min="3" max="3" width="14.453125" style="1" customWidth="1"/>
    <col min="4" max="4" width="14.81640625" style="1" customWidth="1"/>
    <col min="5" max="16384" width="9.08984375" style="1"/>
  </cols>
  <sheetData>
    <row r="2" spans="1:3" ht="15" customHeight="1"/>
    <row r="3" spans="1:3" ht="20.25" customHeight="1"/>
    <row r="4" spans="1:3" ht="21" customHeight="1">
      <c r="B4" s="84" t="s">
        <v>29</v>
      </c>
    </row>
    <row r="5" spans="1:3" ht="21" customHeight="1">
      <c r="B5" s="26"/>
    </row>
    <row r="6" spans="1:3" ht="50.25" customHeight="1">
      <c r="B6" s="85" t="s">
        <v>205</v>
      </c>
      <c r="C6" s="256"/>
    </row>
    <row r="7" spans="1:3" ht="15" customHeight="1">
      <c r="B7" s="190" t="s">
        <v>297</v>
      </c>
      <c r="C7" s="256"/>
    </row>
    <row r="8" spans="1:3" ht="21" customHeight="1">
      <c r="A8" s="192">
        <v>1</v>
      </c>
      <c r="B8" s="191" t="s">
        <v>299</v>
      </c>
      <c r="C8" s="195" t="e">
        <f>'VI სართული'!L92</f>
        <v>#VALUE!</v>
      </c>
    </row>
    <row r="9" spans="1:3" ht="21" customHeight="1">
      <c r="A9" s="192">
        <v>2</v>
      </c>
      <c r="B9" s="191" t="s">
        <v>300</v>
      </c>
      <c r="C9" s="195" t="e">
        <f>რეანიმაცია!M255</f>
        <v>#VALUE!</v>
      </c>
    </row>
    <row r="10" spans="1:3" ht="21" customHeight="1">
      <c r="A10" s="192">
        <v>3</v>
      </c>
      <c r="B10" s="191" t="s">
        <v>369</v>
      </c>
      <c r="C10" s="195" t="e">
        <f>ვენტილაცია!I45</f>
        <v>#VALUE!</v>
      </c>
    </row>
    <row r="11" spans="1:3" ht="21" customHeight="1">
      <c r="A11" s="192">
        <v>4</v>
      </c>
      <c r="B11" s="191" t="s">
        <v>370</v>
      </c>
      <c r="C11" s="195">
        <f>აირები!I16</f>
        <v>0</v>
      </c>
    </row>
    <row r="12" spans="1:3" ht="25.75" customHeight="1">
      <c r="A12" s="94"/>
      <c r="B12" s="193" t="s">
        <v>6</v>
      </c>
      <c r="C12" s="196" t="e">
        <f>SUM(C8:C11)</f>
        <v>#VALUE!</v>
      </c>
    </row>
    <row r="13" spans="1:3" ht="36" customHeight="1">
      <c r="B13" s="3" t="s">
        <v>298</v>
      </c>
    </row>
    <row r="14" spans="1:3">
      <c r="B14" s="3"/>
    </row>
    <row r="15" spans="1:3">
      <c r="B15" s="3"/>
    </row>
    <row r="16" spans="1:3">
      <c r="B16" s="3"/>
    </row>
    <row r="17" spans="2:2">
      <c r="B17" s="3"/>
    </row>
    <row r="18" spans="2:2">
      <c r="B18" s="3"/>
    </row>
    <row r="19" spans="2:2">
      <c r="B19" s="3"/>
    </row>
    <row r="20" spans="2:2">
      <c r="B20" s="3"/>
    </row>
    <row r="26" spans="2:2" ht="15" customHeight="1"/>
    <row r="27" spans="2:2" ht="15" customHeight="1"/>
    <row r="35" ht="18" customHeight="1"/>
    <row r="36" ht="15" customHeight="1"/>
    <row r="37" ht="18" customHeight="1"/>
    <row r="38" ht="18" customHeight="1"/>
    <row r="39" ht="18" customHeight="1"/>
    <row r="40" ht="18" customHeight="1"/>
    <row r="41" ht="18" customHeight="1"/>
    <row r="65" spans="2:3" ht="15.75" customHeight="1"/>
    <row r="66" spans="2:3" s="2" customFormat="1">
      <c r="B66" s="1"/>
      <c r="C66" s="1"/>
    </row>
  </sheetData>
  <mergeCells count="1">
    <mergeCell ref="C6:C7"/>
  </mergeCells>
  <pageMargins left="0.2" right="0.2" top="0.75" bottom="0.75" header="0.3" footer="0.3"/>
  <pageSetup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</sheetPr>
  <dimension ref="A1:M92"/>
  <sheetViews>
    <sheetView topLeftCell="A58" zoomScale="99" zoomScaleNormal="99" workbookViewId="0">
      <selection activeCell="C92" sqref="C92"/>
    </sheetView>
  </sheetViews>
  <sheetFormatPr defaultColWidth="9.08984375" defaultRowHeight="12"/>
  <cols>
    <col min="1" max="1" width="3.36328125" style="67" customWidth="1"/>
    <col min="2" max="2" width="54.6328125" style="42" customWidth="1"/>
    <col min="3" max="3" width="74.08984375" style="42" customWidth="1"/>
    <col min="4" max="4" width="6" style="67" customWidth="1"/>
    <col min="5" max="5" width="9.81640625" style="42" customWidth="1"/>
    <col min="6" max="6" width="9.36328125" style="42" customWidth="1"/>
    <col min="7" max="7" width="12.6328125" style="42" customWidth="1"/>
    <col min="8" max="8" width="7.6328125" style="42" customWidth="1"/>
    <col min="9" max="9" width="12.453125" style="42" customWidth="1"/>
    <col min="10" max="10" width="7.81640625" style="42" customWidth="1"/>
    <col min="11" max="11" width="9.08984375" style="42" customWidth="1"/>
    <col min="12" max="12" width="11.81640625" style="42" customWidth="1"/>
    <col min="13" max="13" width="22" style="42" customWidth="1"/>
    <col min="14" max="16384" width="9.08984375" style="42"/>
  </cols>
  <sheetData>
    <row r="1" spans="1:12" ht="19.75" customHeight="1">
      <c r="A1" s="260" t="s">
        <v>93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2"/>
    </row>
    <row r="2" spans="1:12" ht="19.25" customHeight="1">
      <c r="A2" s="78"/>
      <c r="B2" s="257" t="s">
        <v>97</v>
      </c>
      <c r="C2" s="257"/>
      <c r="D2" s="257"/>
      <c r="E2" s="257"/>
      <c r="F2" s="257"/>
      <c r="G2" s="257"/>
      <c r="H2" s="257"/>
      <c r="I2" s="257"/>
      <c r="J2" s="257"/>
      <c r="K2" s="257"/>
      <c r="L2" s="258"/>
    </row>
    <row r="3" spans="1:12" ht="18" customHeight="1">
      <c r="A3" s="79"/>
      <c r="B3" s="119" t="s">
        <v>148</v>
      </c>
      <c r="C3" s="119"/>
      <c r="D3" s="75"/>
      <c r="E3" s="76"/>
      <c r="F3" s="259" t="s">
        <v>22</v>
      </c>
      <c r="G3" s="259"/>
      <c r="H3" s="259"/>
      <c r="I3" s="259"/>
      <c r="J3" s="263" t="e">
        <f>L92</f>
        <v>#VALUE!</v>
      </c>
      <c r="K3" s="263"/>
      <c r="L3" s="264"/>
    </row>
    <row r="4" spans="1:12" ht="15" customHeight="1">
      <c r="A4" s="267" t="s">
        <v>26</v>
      </c>
      <c r="B4" s="269" t="s">
        <v>0</v>
      </c>
      <c r="C4" s="200"/>
      <c r="D4" s="267" t="s">
        <v>1</v>
      </c>
      <c r="E4" s="271" t="s">
        <v>2</v>
      </c>
      <c r="F4" s="273" t="s">
        <v>3</v>
      </c>
      <c r="G4" s="274"/>
      <c r="H4" s="273" t="s">
        <v>4</v>
      </c>
      <c r="I4" s="274"/>
      <c r="J4" s="265" t="s">
        <v>5</v>
      </c>
      <c r="K4" s="266"/>
      <c r="L4" s="267" t="s">
        <v>6</v>
      </c>
    </row>
    <row r="5" spans="1:12" ht="17.25" customHeight="1">
      <c r="A5" s="268"/>
      <c r="B5" s="270"/>
      <c r="C5" s="201"/>
      <c r="D5" s="268"/>
      <c r="E5" s="272"/>
      <c r="F5" s="52" t="s">
        <v>7</v>
      </c>
      <c r="G5" s="52" t="s">
        <v>6</v>
      </c>
      <c r="H5" s="52" t="s">
        <v>7</v>
      </c>
      <c r="I5" s="52" t="s">
        <v>6</v>
      </c>
      <c r="J5" s="52" t="s">
        <v>7</v>
      </c>
      <c r="K5" s="52" t="s">
        <v>6</v>
      </c>
      <c r="L5" s="268"/>
    </row>
    <row r="6" spans="1:12" ht="12.5">
      <c r="A6" s="53">
        <v>1</v>
      </c>
      <c r="B6" s="34">
        <v>2</v>
      </c>
      <c r="C6" s="34"/>
      <c r="D6" s="54">
        <v>3</v>
      </c>
      <c r="E6" s="34">
        <v>4</v>
      </c>
      <c r="F6" s="34">
        <v>5</v>
      </c>
      <c r="G6" s="34">
        <v>6</v>
      </c>
      <c r="H6" s="34">
        <v>7</v>
      </c>
      <c r="I6" s="34">
        <v>8</v>
      </c>
      <c r="J6" s="34">
        <v>9</v>
      </c>
      <c r="K6" s="34">
        <v>10</v>
      </c>
      <c r="L6" s="34">
        <v>11</v>
      </c>
    </row>
    <row r="7" spans="1:12" ht="13.5">
      <c r="A7" s="53"/>
      <c r="B7" s="10" t="s">
        <v>88</v>
      </c>
      <c r="C7" s="10"/>
      <c r="D7" s="58"/>
      <c r="E7" s="47"/>
      <c r="F7" s="47"/>
      <c r="G7" s="47"/>
      <c r="H7" s="47"/>
      <c r="I7" s="47"/>
      <c r="J7" s="47"/>
      <c r="K7" s="47"/>
      <c r="L7" s="47"/>
    </row>
    <row r="8" spans="1:12" s="65" customFormat="1" ht="17.399999999999999" customHeight="1">
      <c r="A8" s="57">
        <v>1</v>
      </c>
      <c r="B8" s="20" t="s">
        <v>94</v>
      </c>
      <c r="C8" s="20"/>
      <c r="D8" s="52" t="s">
        <v>74</v>
      </c>
      <c r="E8" s="71">
        <v>50</v>
      </c>
      <c r="F8" s="71"/>
      <c r="G8" s="71">
        <f t="shared" ref="G8:G80" si="0">F8*E8</f>
        <v>0</v>
      </c>
      <c r="H8" s="71"/>
      <c r="I8" s="71">
        <f>H8*E8</f>
        <v>0</v>
      </c>
      <c r="J8" s="71"/>
      <c r="K8" s="71">
        <f>J8*E8</f>
        <v>0</v>
      </c>
      <c r="L8" s="71">
        <f>K8+I8+G8</f>
        <v>0</v>
      </c>
    </row>
    <row r="9" spans="1:12" s="65" customFormat="1" ht="17.399999999999999" customHeight="1">
      <c r="A9" s="57">
        <v>2</v>
      </c>
      <c r="B9" s="20" t="s">
        <v>95</v>
      </c>
      <c r="C9" s="20"/>
      <c r="D9" s="52" t="s">
        <v>74</v>
      </c>
      <c r="E9" s="71">
        <v>35</v>
      </c>
      <c r="F9" s="71"/>
      <c r="G9" s="71">
        <f t="shared" si="0"/>
        <v>0</v>
      </c>
      <c r="H9" s="71"/>
      <c r="I9" s="71">
        <f t="shared" ref="I9:I72" si="1">H9*E9</f>
        <v>0</v>
      </c>
      <c r="J9" s="71"/>
      <c r="K9" s="71">
        <f t="shared" ref="K9:K72" si="2">J9*E9</f>
        <v>0</v>
      </c>
      <c r="L9" s="71">
        <f t="shared" ref="L9:L72" si="3">K9+I9+G9</f>
        <v>0</v>
      </c>
    </row>
    <row r="10" spans="1:12" s="65" customFormat="1" ht="17.399999999999999" customHeight="1">
      <c r="A10" s="57">
        <v>3</v>
      </c>
      <c r="B10" s="20" t="s">
        <v>96</v>
      </c>
      <c r="C10" s="20"/>
      <c r="D10" s="52" t="s">
        <v>74</v>
      </c>
      <c r="E10" s="71">
        <v>290</v>
      </c>
      <c r="F10" s="71"/>
      <c r="G10" s="71">
        <f t="shared" si="0"/>
        <v>0</v>
      </c>
      <c r="H10" s="71"/>
      <c r="I10" s="71">
        <f t="shared" si="1"/>
        <v>0</v>
      </c>
      <c r="J10" s="71"/>
      <c r="K10" s="71">
        <f t="shared" si="2"/>
        <v>0</v>
      </c>
      <c r="L10" s="71">
        <f t="shared" si="3"/>
        <v>0</v>
      </c>
    </row>
    <row r="11" spans="1:12" s="65" customFormat="1" ht="17.399999999999999" customHeight="1">
      <c r="A11" s="57">
        <v>4</v>
      </c>
      <c r="B11" s="20" t="s">
        <v>87</v>
      </c>
      <c r="C11" s="20"/>
      <c r="D11" s="52" t="s">
        <v>9</v>
      </c>
      <c r="E11" s="71">
        <v>28</v>
      </c>
      <c r="F11" s="71"/>
      <c r="G11" s="71">
        <f t="shared" si="0"/>
        <v>0</v>
      </c>
      <c r="H11" s="71"/>
      <c r="I11" s="71">
        <f t="shared" si="1"/>
        <v>0</v>
      </c>
      <c r="J11" s="71"/>
      <c r="K11" s="71">
        <f t="shared" si="2"/>
        <v>0</v>
      </c>
      <c r="L11" s="71">
        <f t="shared" si="3"/>
        <v>0</v>
      </c>
    </row>
    <row r="12" spans="1:12" s="65" customFormat="1" ht="17.399999999999999" customHeight="1">
      <c r="A12" s="57">
        <v>5</v>
      </c>
      <c r="B12" s="20" t="s">
        <v>92</v>
      </c>
      <c r="C12" s="20"/>
      <c r="D12" s="52" t="s">
        <v>74</v>
      </c>
      <c r="E12" s="71">
        <f>320+84</f>
        <v>404</v>
      </c>
      <c r="F12" s="71"/>
      <c r="G12" s="71">
        <f t="shared" si="0"/>
        <v>0</v>
      </c>
      <c r="H12" s="71"/>
      <c r="I12" s="71">
        <f t="shared" si="1"/>
        <v>0</v>
      </c>
      <c r="J12" s="71"/>
      <c r="K12" s="71">
        <f t="shared" si="2"/>
        <v>0</v>
      </c>
      <c r="L12" s="71">
        <f t="shared" si="3"/>
        <v>0</v>
      </c>
    </row>
    <row r="13" spans="1:12" s="65" customFormat="1" ht="17.399999999999999" customHeight="1">
      <c r="A13" s="57">
        <v>6</v>
      </c>
      <c r="B13" s="20" t="s">
        <v>100</v>
      </c>
      <c r="C13" s="20"/>
      <c r="D13" s="52" t="s">
        <v>74</v>
      </c>
      <c r="E13" s="71">
        <v>80</v>
      </c>
      <c r="F13" s="71"/>
      <c r="G13" s="71">
        <f t="shared" si="0"/>
        <v>0</v>
      </c>
      <c r="H13" s="71"/>
      <c r="I13" s="71">
        <f t="shared" si="1"/>
        <v>0</v>
      </c>
      <c r="J13" s="71"/>
      <c r="K13" s="71">
        <f t="shared" si="2"/>
        <v>0</v>
      </c>
      <c r="L13" s="71">
        <f t="shared" si="3"/>
        <v>0</v>
      </c>
    </row>
    <row r="14" spans="1:12" s="65" customFormat="1" ht="17.399999999999999" customHeight="1">
      <c r="A14" s="57">
        <v>7</v>
      </c>
      <c r="B14" s="20" t="s">
        <v>98</v>
      </c>
      <c r="C14" s="20"/>
      <c r="D14" s="52" t="s">
        <v>99</v>
      </c>
      <c r="E14" s="71">
        <v>25</v>
      </c>
      <c r="F14" s="71"/>
      <c r="G14" s="71">
        <f t="shared" si="0"/>
        <v>0</v>
      </c>
      <c r="H14" s="71"/>
      <c r="I14" s="71">
        <f t="shared" si="1"/>
        <v>0</v>
      </c>
      <c r="J14" s="71"/>
      <c r="K14" s="71">
        <f t="shared" si="2"/>
        <v>0</v>
      </c>
      <c r="L14" s="71">
        <f t="shared" si="3"/>
        <v>0</v>
      </c>
    </row>
    <row r="15" spans="1:12" s="65" customFormat="1" ht="33" customHeight="1">
      <c r="A15" s="57">
        <v>8</v>
      </c>
      <c r="B15" s="9" t="s">
        <v>69</v>
      </c>
      <c r="C15" s="9"/>
      <c r="D15" s="52" t="s">
        <v>23</v>
      </c>
      <c r="E15" s="71">
        <f>(E8*0.05+E9*0.04+E10*0.01+E11*0.07+E12*0.04+E13*0.05*1.8)*1.2</f>
        <v>38.544000000000004</v>
      </c>
      <c r="F15" s="71"/>
      <c r="G15" s="71">
        <f t="shared" si="0"/>
        <v>0</v>
      </c>
      <c r="H15" s="71"/>
      <c r="I15" s="71">
        <f t="shared" si="1"/>
        <v>0</v>
      </c>
      <c r="J15" s="71"/>
      <c r="K15" s="71">
        <f t="shared" si="2"/>
        <v>0</v>
      </c>
      <c r="L15" s="71">
        <f t="shared" si="3"/>
        <v>0</v>
      </c>
    </row>
    <row r="16" spans="1:12" s="65" customFormat="1" ht="13.5">
      <c r="A16" s="57"/>
      <c r="B16" s="68" t="s">
        <v>89</v>
      </c>
      <c r="C16" s="68"/>
      <c r="D16" s="52"/>
      <c r="E16" s="71"/>
      <c r="F16" s="71"/>
      <c r="G16" s="71">
        <f t="shared" si="0"/>
        <v>0</v>
      </c>
      <c r="H16" s="71"/>
      <c r="I16" s="71">
        <f t="shared" si="1"/>
        <v>0</v>
      </c>
      <c r="J16" s="71"/>
      <c r="K16" s="71">
        <f t="shared" si="2"/>
        <v>0</v>
      </c>
      <c r="L16" s="71">
        <f t="shared" si="3"/>
        <v>0</v>
      </c>
    </row>
    <row r="17" spans="1:12" s="65" customFormat="1" ht="24.65" customHeight="1">
      <c r="A17" s="57">
        <v>1</v>
      </c>
      <c r="B17" s="86" t="s">
        <v>303</v>
      </c>
      <c r="C17" s="86"/>
      <c r="D17" s="157" t="s">
        <v>8</v>
      </c>
      <c r="E17" s="92">
        <v>80</v>
      </c>
      <c r="F17" s="90"/>
      <c r="G17" s="71">
        <f t="shared" si="0"/>
        <v>0</v>
      </c>
      <c r="H17" s="16"/>
      <c r="I17" s="71">
        <f t="shared" si="1"/>
        <v>0</v>
      </c>
      <c r="J17" s="16"/>
      <c r="K17" s="71">
        <f t="shared" si="2"/>
        <v>0</v>
      </c>
      <c r="L17" s="71">
        <f t="shared" si="3"/>
        <v>0</v>
      </c>
    </row>
    <row r="18" spans="1:12" s="65" customFormat="1" ht="13.5">
      <c r="A18" s="57"/>
      <c r="B18" s="88" t="s">
        <v>110</v>
      </c>
      <c r="C18" s="88"/>
      <c r="D18" s="52" t="s">
        <v>101</v>
      </c>
      <c r="E18" s="16">
        <f>E17*0.05*1.2</f>
        <v>4.8</v>
      </c>
      <c r="F18" s="16"/>
      <c r="G18" s="71">
        <f t="shared" si="0"/>
        <v>0</v>
      </c>
      <c r="H18" s="16"/>
      <c r="I18" s="71">
        <f t="shared" si="1"/>
        <v>0</v>
      </c>
      <c r="J18" s="16"/>
      <c r="K18" s="71">
        <f t="shared" si="2"/>
        <v>0</v>
      </c>
      <c r="L18" s="71">
        <f t="shared" si="3"/>
        <v>0</v>
      </c>
    </row>
    <row r="19" spans="1:12" s="65" customFormat="1" ht="13.5">
      <c r="A19" s="57"/>
      <c r="B19" s="88" t="s">
        <v>111</v>
      </c>
      <c r="C19" s="88"/>
      <c r="D19" s="52" t="s">
        <v>102</v>
      </c>
      <c r="E19" s="16">
        <f>E18*0.3</f>
        <v>1.44</v>
      </c>
      <c r="F19" s="16"/>
      <c r="G19" s="71">
        <f t="shared" si="0"/>
        <v>0</v>
      </c>
      <c r="H19" s="16"/>
      <c r="I19" s="71">
        <f t="shared" si="1"/>
        <v>0</v>
      </c>
      <c r="J19" s="16"/>
      <c r="K19" s="71">
        <f t="shared" si="2"/>
        <v>0</v>
      </c>
      <c r="L19" s="71">
        <f t="shared" si="3"/>
        <v>0</v>
      </c>
    </row>
    <row r="20" spans="1:12" s="65" customFormat="1" ht="13.5">
      <c r="A20" s="57"/>
      <c r="B20" s="88" t="s">
        <v>103</v>
      </c>
      <c r="C20" s="88"/>
      <c r="D20" s="52" t="s">
        <v>10</v>
      </c>
      <c r="E20" s="16">
        <f>E17*0.8</f>
        <v>64</v>
      </c>
      <c r="F20" s="16"/>
      <c r="G20" s="71">
        <f t="shared" si="0"/>
        <v>0</v>
      </c>
      <c r="H20" s="16"/>
      <c r="I20" s="71">
        <f t="shared" si="1"/>
        <v>0</v>
      </c>
      <c r="J20" s="16"/>
      <c r="K20" s="71">
        <f t="shared" si="2"/>
        <v>0</v>
      </c>
      <c r="L20" s="71">
        <f t="shared" si="3"/>
        <v>0</v>
      </c>
    </row>
    <row r="21" spans="1:12" s="65" customFormat="1" ht="13.5">
      <c r="A21" s="57"/>
      <c r="B21" s="89" t="s">
        <v>11</v>
      </c>
      <c r="C21" s="89"/>
      <c r="D21" s="52" t="s">
        <v>12</v>
      </c>
      <c r="E21" s="16">
        <f>E17*0.2</f>
        <v>16</v>
      </c>
      <c r="F21" s="16"/>
      <c r="G21" s="71">
        <f t="shared" si="0"/>
        <v>0</v>
      </c>
      <c r="H21" s="16"/>
      <c r="I21" s="71">
        <f t="shared" si="1"/>
        <v>0</v>
      </c>
      <c r="J21" s="16"/>
      <c r="K21" s="71">
        <f t="shared" si="2"/>
        <v>0</v>
      </c>
      <c r="L21" s="71">
        <f t="shared" si="3"/>
        <v>0</v>
      </c>
    </row>
    <row r="22" spans="1:12" s="65" customFormat="1" ht="14.5">
      <c r="A22" s="57">
        <v>2</v>
      </c>
      <c r="B22" s="93" t="s">
        <v>109</v>
      </c>
      <c r="C22" s="93"/>
      <c r="D22" s="157" t="s">
        <v>8</v>
      </c>
      <c r="E22" s="92">
        <f>E12</f>
        <v>404</v>
      </c>
      <c r="F22" s="94"/>
      <c r="G22" s="71">
        <f t="shared" si="0"/>
        <v>0</v>
      </c>
      <c r="H22" s="28"/>
      <c r="I22" s="71">
        <f t="shared" si="1"/>
        <v>0</v>
      </c>
      <c r="J22" s="28"/>
      <c r="K22" s="71">
        <f t="shared" si="2"/>
        <v>0</v>
      </c>
      <c r="L22" s="71">
        <f t="shared" si="3"/>
        <v>0</v>
      </c>
    </row>
    <row r="23" spans="1:12" s="65" customFormat="1" ht="83.4" customHeight="1">
      <c r="A23" s="57"/>
      <c r="B23" s="72" t="s">
        <v>307</v>
      </c>
      <c r="C23" s="29"/>
      <c r="D23" s="55" t="s">
        <v>13</v>
      </c>
      <c r="E23" s="28">
        <f>E22*5</f>
        <v>2020</v>
      </c>
      <c r="F23" s="28"/>
      <c r="G23" s="71">
        <f t="shared" si="0"/>
        <v>0</v>
      </c>
      <c r="H23" s="28"/>
      <c r="I23" s="71">
        <f t="shared" si="1"/>
        <v>0</v>
      </c>
      <c r="J23" s="28"/>
      <c r="K23" s="71">
        <f t="shared" si="2"/>
        <v>0</v>
      </c>
      <c r="L23" s="71">
        <f t="shared" si="3"/>
        <v>0</v>
      </c>
    </row>
    <row r="24" spans="1:12" s="65" customFormat="1" ht="13.5">
      <c r="A24" s="57"/>
      <c r="B24" s="30" t="s">
        <v>104</v>
      </c>
      <c r="C24" s="30"/>
      <c r="D24" s="55" t="s">
        <v>13</v>
      </c>
      <c r="E24" s="28">
        <f>E22*0.15</f>
        <v>60.599999999999994</v>
      </c>
      <c r="F24" s="28"/>
      <c r="G24" s="71">
        <f t="shared" si="0"/>
        <v>0</v>
      </c>
      <c r="H24" s="28"/>
      <c r="I24" s="71">
        <f t="shared" si="1"/>
        <v>0</v>
      </c>
      <c r="J24" s="28"/>
      <c r="K24" s="71">
        <f t="shared" si="2"/>
        <v>0</v>
      </c>
      <c r="L24" s="71">
        <f t="shared" si="3"/>
        <v>0</v>
      </c>
    </row>
    <row r="25" spans="1:12" s="65" customFormat="1" ht="13.5">
      <c r="A25" s="57"/>
      <c r="B25" s="96" t="s">
        <v>11</v>
      </c>
      <c r="C25" s="96"/>
      <c r="D25" s="55" t="s">
        <v>12</v>
      </c>
      <c r="E25" s="28">
        <f>E22*0.03</f>
        <v>12.12</v>
      </c>
      <c r="F25" s="28"/>
      <c r="G25" s="71">
        <f t="shared" si="0"/>
        <v>0</v>
      </c>
      <c r="H25" s="28"/>
      <c r="I25" s="71">
        <f t="shared" si="1"/>
        <v>0</v>
      </c>
      <c r="J25" s="28"/>
      <c r="K25" s="71">
        <f t="shared" si="2"/>
        <v>0</v>
      </c>
      <c r="L25" s="71">
        <f t="shared" si="3"/>
        <v>0</v>
      </c>
    </row>
    <row r="26" spans="1:12" s="65" customFormat="1" ht="14.5">
      <c r="A26" s="57">
        <v>3</v>
      </c>
      <c r="B26" s="86" t="s">
        <v>112</v>
      </c>
      <c r="C26" s="86"/>
      <c r="D26" s="157" t="s">
        <v>8</v>
      </c>
      <c r="E26" s="92">
        <f>E22</f>
        <v>404</v>
      </c>
      <c r="F26" s="94"/>
      <c r="G26" s="71">
        <f t="shared" si="0"/>
        <v>0</v>
      </c>
      <c r="H26" s="16"/>
      <c r="I26" s="71">
        <f t="shared" si="1"/>
        <v>0</v>
      </c>
      <c r="J26" s="16"/>
      <c r="K26" s="71">
        <f t="shared" si="2"/>
        <v>0</v>
      </c>
      <c r="L26" s="71">
        <f t="shared" si="3"/>
        <v>0</v>
      </c>
    </row>
    <row r="27" spans="1:12" s="65" customFormat="1" ht="118.25" customHeight="1">
      <c r="A27" s="57"/>
      <c r="B27" s="208" t="s">
        <v>309</v>
      </c>
      <c r="C27" s="87"/>
      <c r="D27" s="52" t="s">
        <v>12</v>
      </c>
      <c r="E27" s="91">
        <f>320*1.18</f>
        <v>377.59999999999997</v>
      </c>
      <c r="F27" s="91"/>
      <c r="G27" s="71">
        <f t="shared" si="0"/>
        <v>0</v>
      </c>
      <c r="H27" s="91"/>
      <c r="I27" s="71">
        <f t="shared" si="1"/>
        <v>0</v>
      </c>
      <c r="J27" s="91"/>
      <c r="K27" s="71">
        <f t="shared" si="2"/>
        <v>0</v>
      </c>
      <c r="L27" s="71">
        <f t="shared" si="3"/>
        <v>0</v>
      </c>
    </row>
    <row r="28" spans="1:12" s="65" customFormat="1" ht="118.25" customHeight="1">
      <c r="A28" s="57"/>
      <c r="B28" s="204" t="s">
        <v>308</v>
      </c>
      <c r="C28" s="88"/>
      <c r="D28" s="155" t="s">
        <v>8</v>
      </c>
      <c r="E28" s="16">
        <f>84*1.18</f>
        <v>99.11999999999999</v>
      </c>
      <c r="F28" s="16"/>
      <c r="G28" s="71">
        <f t="shared" si="0"/>
        <v>0</v>
      </c>
      <c r="H28" s="16"/>
      <c r="I28" s="71">
        <f t="shared" si="1"/>
        <v>0</v>
      </c>
      <c r="J28" s="16"/>
      <c r="K28" s="71">
        <f t="shared" si="2"/>
        <v>0</v>
      </c>
      <c r="L28" s="71">
        <f t="shared" si="3"/>
        <v>0</v>
      </c>
    </row>
    <row r="29" spans="1:12" s="65" customFormat="1" ht="13.5">
      <c r="A29" s="57"/>
      <c r="B29" s="98" t="s">
        <v>105</v>
      </c>
      <c r="C29" s="98"/>
      <c r="D29" s="55" t="s">
        <v>10</v>
      </c>
      <c r="E29" s="28">
        <f>E26*1.02</f>
        <v>412.08</v>
      </c>
      <c r="F29" s="28"/>
      <c r="G29" s="71">
        <f t="shared" si="0"/>
        <v>0</v>
      </c>
      <c r="H29" s="99"/>
      <c r="I29" s="71">
        <f t="shared" si="1"/>
        <v>0</v>
      </c>
      <c r="J29" s="28"/>
      <c r="K29" s="71">
        <f t="shared" si="2"/>
        <v>0</v>
      </c>
      <c r="L29" s="71">
        <f t="shared" si="3"/>
        <v>0</v>
      </c>
    </row>
    <row r="30" spans="1:12" s="65" customFormat="1" ht="13.5">
      <c r="A30" s="57"/>
      <c r="B30" s="30" t="s">
        <v>106</v>
      </c>
      <c r="C30" s="30"/>
      <c r="D30" s="55" t="s">
        <v>13</v>
      </c>
      <c r="E30" s="28">
        <f>E26*0.3</f>
        <v>121.19999999999999</v>
      </c>
      <c r="F30" s="28"/>
      <c r="G30" s="71">
        <f t="shared" si="0"/>
        <v>0</v>
      </c>
      <c r="H30" s="28"/>
      <c r="I30" s="71">
        <f t="shared" si="1"/>
        <v>0</v>
      </c>
      <c r="J30" s="28"/>
      <c r="K30" s="71">
        <f t="shared" si="2"/>
        <v>0</v>
      </c>
      <c r="L30" s="71">
        <f t="shared" si="3"/>
        <v>0</v>
      </c>
    </row>
    <row r="31" spans="1:12" s="65" customFormat="1" ht="92.4" customHeight="1">
      <c r="A31" s="57"/>
      <c r="B31" s="30" t="s">
        <v>107</v>
      </c>
      <c r="C31" s="30"/>
      <c r="D31" s="55" t="s">
        <v>13</v>
      </c>
      <c r="E31" s="28">
        <f>E26*0.25</f>
        <v>101</v>
      </c>
      <c r="F31" s="28"/>
      <c r="G31" s="71">
        <f t="shared" si="0"/>
        <v>0</v>
      </c>
      <c r="H31" s="28"/>
      <c r="I31" s="71">
        <f t="shared" si="1"/>
        <v>0</v>
      </c>
      <c r="J31" s="28"/>
      <c r="K31" s="71">
        <f t="shared" si="2"/>
        <v>0</v>
      </c>
      <c r="L31" s="71">
        <f t="shared" si="3"/>
        <v>0</v>
      </c>
    </row>
    <row r="32" spans="1:12" s="65" customFormat="1" ht="13.5">
      <c r="A32" s="57"/>
      <c r="B32" s="30" t="s">
        <v>108</v>
      </c>
      <c r="C32" s="30"/>
      <c r="D32" s="55" t="s">
        <v>13</v>
      </c>
      <c r="E32" s="28">
        <f>E27*0.3</f>
        <v>113.27999999999999</v>
      </c>
      <c r="F32" s="28"/>
      <c r="G32" s="71">
        <f t="shared" si="0"/>
        <v>0</v>
      </c>
      <c r="H32" s="28"/>
      <c r="I32" s="71">
        <f t="shared" si="1"/>
        <v>0</v>
      </c>
      <c r="J32" s="28"/>
      <c r="K32" s="71">
        <f t="shared" si="2"/>
        <v>0</v>
      </c>
      <c r="L32" s="71">
        <f t="shared" si="3"/>
        <v>0</v>
      </c>
    </row>
    <row r="33" spans="1:12" s="65" customFormat="1" ht="13.5">
      <c r="A33" s="57"/>
      <c r="B33" s="96" t="s">
        <v>11</v>
      </c>
      <c r="C33" s="96"/>
      <c r="D33" s="55" t="s">
        <v>12</v>
      </c>
      <c r="E33" s="28">
        <f>E26*0.03</f>
        <v>12.12</v>
      </c>
      <c r="F33" s="28"/>
      <c r="G33" s="71">
        <f t="shared" si="0"/>
        <v>0</v>
      </c>
      <c r="H33" s="28"/>
      <c r="I33" s="71">
        <f t="shared" si="1"/>
        <v>0</v>
      </c>
      <c r="J33" s="28"/>
      <c r="K33" s="71">
        <f t="shared" si="2"/>
        <v>0</v>
      </c>
      <c r="L33" s="71">
        <f t="shared" si="3"/>
        <v>0</v>
      </c>
    </row>
    <row r="34" spans="1:12" s="65" customFormat="1" ht="13.5">
      <c r="A34" s="57">
        <v>4</v>
      </c>
      <c r="B34" s="100" t="s">
        <v>127</v>
      </c>
      <c r="C34" s="100"/>
      <c r="D34" s="157" t="s">
        <v>8</v>
      </c>
      <c r="E34" s="101">
        <v>45</v>
      </c>
      <c r="F34" s="6"/>
      <c r="G34" s="71">
        <f t="shared" si="0"/>
        <v>0</v>
      </c>
      <c r="H34" s="6"/>
      <c r="I34" s="71">
        <f t="shared" si="1"/>
        <v>0</v>
      </c>
      <c r="J34" s="6"/>
      <c r="K34" s="71">
        <f t="shared" si="2"/>
        <v>0</v>
      </c>
      <c r="L34" s="71">
        <f t="shared" si="3"/>
        <v>0</v>
      </c>
    </row>
    <row r="35" spans="1:12" s="65" customFormat="1" ht="13.5">
      <c r="A35" s="57"/>
      <c r="B35" s="63" t="s">
        <v>113</v>
      </c>
      <c r="C35" s="63"/>
      <c r="D35" s="155" t="s">
        <v>8</v>
      </c>
      <c r="E35" s="6">
        <f>E34*2.05</f>
        <v>92.249999999999986</v>
      </c>
      <c r="F35" s="6"/>
      <c r="G35" s="71">
        <f t="shared" si="0"/>
        <v>0</v>
      </c>
      <c r="H35" s="6"/>
      <c r="I35" s="71">
        <f t="shared" si="1"/>
        <v>0</v>
      </c>
      <c r="J35" s="6"/>
      <c r="K35" s="71">
        <f t="shared" si="2"/>
        <v>0</v>
      </c>
      <c r="L35" s="71">
        <f t="shared" si="3"/>
        <v>0</v>
      </c>
    </row>
    <row r="36" spans="1:12" s="65" customFormat="1" ht="86.4" customHeight="1">
      <c r="A36" s="57"/>
      <c r="B36" s="9" t="s">
        <v>118</v>
      </c>
      <c r="C36" s="9"/>
      <c r="D36" s="55" t="s">
        <v>8</v>
      </c>
      <c r="E36" s="6">
        <f>E34</f>
        <v>45</v>
      </c>
      <c r="F36" s="6"/>
      <c r="G36" s="71">
        <f t="shared" si="0"/>
        <v>0</v>
      </c>
      <c r="H36" s="6"/>
      <c r="I36" s="71">
        <f t="shared" si="1"/>
        <v>0</v>
      </c>
      <c r="J36" s="6"/>
      <c r="K36" s="71">
        <f t="shared" si="2"/>
        <v>0</v>
      </c>
      <c r="L36" s="71">
        <f t="shared" si="3"/>
        <v>0</v>
      </c>
    </row>
    <row r="37" spans="1:12" s="65" customFormat="1" ht="84.65" customHeight="1">
      <c r="A37" s="57"/>
      <c r="B37" s="72" t="s">
        <v>82</v>
      </c>
      <c r="C37" s="21"/>
      <c r="D37" s="55" t="s">
        <v>8</v>
      </c>
      <c r="E37" s="6">
        <f>E34</f>
        <v>45</v>
      </c>
      <c r="F37" s="6"/>
      <c r="G37" s="71">
        <f t="shared" si="0"/>
        <v>0</v>
      </c>
      <c r="H37" s="6"/>
      <c r="I37" s="71">
        <f t="shared" si="1"/>
        <v>0</v>
      </c>
      <c r="J37" s="6"/>
      <c r="K37" s="71">
        <f t="shared" si="2"/>
        <v>0</v>
      </c>
      <c r="L37" s="71">
        <f t="shared" si="3"/>
        <v>0</v>
      </c>
    </row>
    <row r="38" spans="1:12" s="65" customFormat="1" ht="13.5">
      <c r="A38" s="57"/>
      <c r="B38" s="21" t="s">
        <v>115</v>
      </c>
      <c r="C38" s="21"/>
      <c r="D38" s="55" t="s">
        <v>10</v>
      </c>
      <c r="E38" s="6">
        <v>5</v>
      </c>
      <c r="F38" s="6"/>
      <c r="G38" s="71">
        <f t="shared" si="0"/>
        <v>0</v>
      </c>
      <c r="H38" s="6"/>
      <c r="I38" s="71">
        <f t="shared" si="1"/>
        <v>0</v>
      </c>
      <c r="J38" s="6"/>
      <c r="K38" s="71">
        <f t="shared" si="2"/>
        <v>0</v>
      </c>
      <c r="L38" s="71">
        <f t="shared" si="3"/>
        <v>0</v>
      </c>
    </row>
    <row r="39" spans="1:12" s="65" customFormat="1" ht="13.5">
      <c r="A39" s="57"/>
      <c r="B39" s="21" t="s">
        <v>11</v>
      </c>
      <c r="C39" s="21"/>
      <c r="D39" s="55" t="s">
        <v>12</v>
      </c>
      <c r="E39" s="6">
        <f>E34*0.03</f>
        <v>1.3499999999999999</v>
      </c>
      <c r="F39" s="6"/>
      <c r="G39" s="71">
        <f t="shared" si="0"/>
        <v>0</v>
      </c>
      <c r="H39" s="6"/>
      <c r="I39" s="71">
        <f t="shared" si="1"/>
        <v>0</v>
      </c>
      <c r="J39" s="6"/>
      <c r="K39" s="71">
        <f t="shared" si="2"/>
        <v>0</v>
      </c>
      <c r="L39" s="71">
        <f t="shared" si="3"/>
        <v>0</v>
      </c>
    </row>
    <row r="40" spans="1:12" s="65" customFormat="1" ht="15.65" customHeight="1">
      <c r="A40" s="57">
        <v>5</v>
      </c>
      <c r="B40" s="93" t="s">
        <v>116</v>
      </c>
      <c r="C40" s="93"/>
      <c r="D40" s="157" t="s">
        <v>8</v>
      </c>
      <c r="E40" s="101">
        <v>335</v>
      </c>
      <c r="F40" s="28"/>
      <c r="G40" s="71">
        <f t="shared" si="0"/>
        <v>0</v>
      </c>
      <c r="H40" s="6"/>
      <c r="I40" s="71">
        <f t="shared" si="1"/>
        <v>0</v>
      </c>
      <c r="J40" s="6"/>
      <c r="K40" s="71">
        <f t="shared" si="2"/>
        <v>0</v>
      </c>
      <c r="L40" s="71">
        <f t="shared" si="3"/>
        <v>0</v>
      </c>
    </row>
    <row r="41" spans="1:12" s="65" customFormat="1" ht="13.5">
      <c r="A41" s="57"/>
      <c r="B41" s="63" t="s">
        <v>114</v>
      </c>
      <c r="C41" s="63"/>
      <c r="D41" s="155" t="s">
        <v>8</v>
      </c>
      <c r="E41" s="6">
        <f>E40*1.05</f>
        <v>351.75</v>
      </c>
      <c r="F41" s="6"/>
      <c r="G41" s="71">
        <f t="shared" si="0"/>
        <v>0</v>
      </c>
      <c r="H41" s="6"/>
      <c r="I41" s="71">
        <f t="shared" si="1"/>
        <v>0</v>
      </c>
      <c r="J41" s="6"/>
      <c r="K41" s="71">
        <f t="shared" si="2"/>
        <v>0</v>
      </c>
      <c r="L41" s="71">
        <f t="shared" si="3"/>
        <v>0</v>
      </c>
    </row>
    <row r="42" spans="1:12" s="65" customFormat="1" ht="103.25" customHeight="1">
      <c r="A42" s="57"/>
      <c r="B42" s="9" t="s">
        <v>117</v>
      </c>
      <c r="C42" s="9"/>
      <c r="D42" s="55" t="s">
        <v>8</v>
      </c>
      <c r="E42" s="6">
        <f>E40</f>
        <v>335</v>
      </c>
      <c r="F42" s="6"/>
      <c r="G42" s="71">
        <f t="shared" si="0"/>
        <v>0</v>
      </c>
      <c r="H42" s="6"/>
      <c r="I42" s="71">
        <f t="shared" si="1"/>
        <v>0</v>
      </c>
      <c r="J42" s="6"/>
      <c r="K42" s="71">
        <f t="shared" si="2"/>
        <v>0</v>
      </c>
      <c r="L42" s="71">
        <f t="shared" si="3"/>
        <v>0</v>
      </c>
    </row>
    <row r="43" spans="1:12" s="65" customFormat="1" ht="13.5">
      <c r="A43" s="57"/>
      <c r="B43" s="21" t="s">
        <v>11</v>
      </c>
      <c r="C43" s="21"/>
      <c r="D43" s="55" t="s">
        <v>12</v>
      </c>
      <c r="E43" s="6">
        <f>E40*0.02</f>
        <v>6.7</v>
      </c>
      <c r="F43" s="6"/>
      <c r="G43" s="71">
        <f t="shared" si="0"/>
        <v>0</v>
      </c>
      <c r="H43" s="6"/>
      <c r="I43" s="71">
        <f t="shared" si="1"/>
        <v>0</v>
      </c>
      <c r="J43" s="6"/>
      <c r="K43" s="71">
        <f t="shared" si="2"/>
        <v>0</v>
      </c>
      <c r="L43" s="71">
        <f t="shared" si="3"/>
        <v>0</v>
      </c>
    </row>
    <row r="44" spans="1:12" s="65" customFormat="1" ht="18" customHeight="1">
      <c r="A44" s="57">
        <v>6</v>
      </c>
      <c r="B44" s="27" t="s">
        <v>120</v>
      </c>
      <c r="C44" s="27"/>
      <c r="D44" s="55" t="s">
        <v>8</v>
      </c>
      <c r="E44" s="28">
        <v>60</v>
      </c>
      <c r="F44" s="28"/>
      <c r="G44" s="71">
        <f t="shared" si="0"/>
        <v>0</v>
      </c>
      <c r="H44" s="28"/>
      <c r="I44" s="71">
        <f t="shared" si="1"/>
        <v>0</v>
      </c>
      <c r="J44" s="28"/>
      <c r="K44" s="71">
        <f t="shared" si="2"/>
        <v>0</v>
      </c>
      <c r="L44" s="71">
        <f t="shared" si="3"/>
        <v>0</v>
      </c>
    </row>
    <row r="45" spans="1:12" s="65" customFormat="1" ht="13.5">
      <c r="A45" s="57"/>
      <c r="B45" s="63" t="s">
        <v>86</v>
      </c>
      <c r="C45" s="63"/>
      <c r="D45" s="55" t="s">
        <v>8</v>
      </c>
      <c r="E45" s="28">
        <f>E44*1.05</f>
        <v>63</v>
      </c>
      <c r="F45" s="28"/>
      <c r="G45" s="71">
        <f t="shared" si="0"/>
        <v>0</v>
      </c>
      <c r="H45" s="28"/>
      <c r="I45" s="71">
        <f t="shared" si="1"/>
        <v>0</v>
      </c>
      <c r="J45" s="28"/>
      <c r="K45" s="71">
        <f t="shared" si="2"/>
        <v>0</v>
      </c>
      <c r="L45" s="71">
        <f t="shared" si="3"/>
        <v>0</v>
      </c>
    </row>
    <row r="46" spans="1:12" s="65" customFormat="1" ht="88.25" customHeight="1">
      <c r="A46" s="57"/>
      <c r="B46" s="29" t="s">
        <v>81</v>
      </c>
      <c r="C46" s="29"/>
      <c r="D46" s="55" t="s">
        <v>8</v>
      </c>
      <c r="E46" s="28">
        <f>E44</f>
        <v>60</v>
      </c>
      <c r="F46" s="28"/>
      <c r="G46" s="71">
        <f t="shared" si="0"/>
        <v>0</v>
      </c>
      <c r="H46" s="28"/>
      <c r="I46" s="71">
        <f t="shared" si="1"/>
        <v>0</v>
      </c>
      <c r="J46" s="28"/>
      <c r="K46" s="71">
        <f t="shared" si="2"/>
        <v>0</v>
      </c>
      <c r="L46" s="71">
        <f t="shared" si="3"/>
        <v>0</v>
      </c>
    </row>
    <row r="47" spans="1:12" s="65" customFormat="1" ht="13.5">
      <c r="A47" s="57"/>
      <c r="B47" s="29" t="s">
        <v>121</v>
      </c>
      <c r="C47" s="29"/>
      <c r="D47" s="55" t="s">
        <v>8</v>
      </c>
      <c r="E47" s="28">
        <f t="shared" ref="E47:E48" si="4">E45</f>
        <v>63</v>
      </c>
      <c r="F47" s="28"/>
      <c r="G47" s="71">
        <f t="shared" si="0"/>
        <v>0</v>
      </c>
      <c r="H47" s="28"/>
      <c r="I47" s="71">
        <f t="shared" si="1"/>
        <v>0</v>
      </c>
      <c r="J47" s="28"/>
      <c r="K47" s="71">
        <f t="shared" si="2"/>
        <v>0</v>
      </c>
      <c r="L47" s="71">
        <f t="shared" si="3"/>
        <v>0</v>
      </c>
    </row>
    <row r="48" spans="1:12" s="65" customFormat="1" ht="13.5">
      <c r="A48" s="57"/>
      <c r="B48" s="29" t="s">
        <v>122</v>
      </c>
      <c r="C48" s="29"/>
      <c r="D48" s="55" t="s">
        <v>8</v>
      </c>
      <c r="E48" s="28">
        <f t="shared" si="4"/>
        <v>60</v>
      </c>
      <c r="F48" s="28"/>
      <c r="G48" s="71">
        <f t="shared" si="0"/>
        <v>0</v>
      </c>
      <c r="H48" s="28"/>
      <c r="I48" s="71">
        <f t="shared" si="1"/>
        <v>0</v>
      </c>
      <c r="J48" s="28"/>
      <c r="K48" s="71">
        <f t="shared" si="2"/>
        <v>0</v>
      </c>
      <c r="L48" s="71">
        <f t="shared" si="3"/>
        <v>0</v>
      </c>
    </row>
    <row r="49" spans="1:13" s="65" customFormat="1" ht="13.5">
      <c r="A49" s="57"/>
      <c r="B49" s="21" t="s">
        <v>11</v>
      </c>
      <c r="C49" s="21"/>
      <c r="D49" s="55" t="s">
        <v>12</v>
      </c>
      <c r="E49" s="28">
        <f>E43*0.7</f>
        <v>4.6899999999999995</v>
      </c>
      <c r="F49" s="28"/>
      <c r="G49" s="71">
        <f t="shared" si="0"/>
        <v>0</v>
      </c>
      <c r="H49" s="28"/>
      <c r="I49" s="71">
        <f t="shared" si="1"/>
        <v>0</v>
      </c>
      <c r="J49" s="28"/>
      <c r="K49" s="71">
        <f t="shared" si="2"/>
        <v>0</v>
      </c>
      <c r="L49" s="71">
        <f t="shared" si="3"/>
        <v>0</v>
      </c>
    </row>
    <row r="50" spans="1:13" s="65" customFormat="1" ht="15.65" customHeight="1">
      <c r="A50" s="57">
        <v>7</v>
      </c>
      <c r="B50" s="19" t="s">
        <v>119</v>
      </c>
      <c r="C50" s="19"/>
      <c r="D50" s="57" t="s">
        <v>8</v>
      </c>
      <c r="E50" s="71">
        <v>2580</v>
      </c>
      <c r="F50" s="71"/>
      <c r="G50" s="71">
        <f t="shared" si="0"/>
        <v>0</v>
      </c>
      <c r="H50" s="71"/>
      <c r="I50" s="71">
        <f t="shared" si="1"/>
        <v>0</v>
      </c>
      <c r="J50" s="71"/>
      <c r="K50" s="71">
        <f t="shared" si="2"/>
        <v>0</v>
      </c>
      <c r="L50" s="71">
        <f t="shared" si="3"/>
        <v>0</v>
      </c>
    </row>
    <row r="51" spans="1:13" s="65" customFormat="1" ht="13.5">
      <c r="A51" s="57"/>
      <c r="B51" s="69" t="s">
        <v>30</v>
      </c>
      <c r="C51" s="69"/>
      <c r="D51" s="52" t="s">
        <v>13</v>
      </c>
      <c r="E51" s="71">
        <f>E50*0.9</f>
        <v>2322</v>
      </c>
      <c r="F51" s="71"/>
      <c r="G51" s="71">
        <f t="shared" si="0"/>
        <v>0</v>
      </c>
      <c r="H51" s="71"/>
      <c r="I51" s="71">
        <f t="shared" si="1"/>
        <v>0</v>
      </c>
      <c r="J51" s="71"/>
      <c r="K51" s="71">
        <f t="shared" si="2"/>
        <v>0</v>
      </c>
      <c r="L51" s="71">
        <f t="shared" si="3"/>
        <v>0</v>
      </c>
    </row>
    <row r="52" spans="1:13" s="65" customFormat="1" ht="93.65" customHeight="1">
      <c r="A52" s="57"/>
      <c r="B52" s="178" t="s">
        <v>310</v>
      </c>
      <c r="C52" s="69"/>
      <c r="D52" s="52" t="s">
        <v>13</v>
      </c>
      <c r="E52" s="71">
        <f>E50*0.4</f>
        <v>1032</v>
      </c>
      <c r="F52" s="71"/>
      <c r="G52" s="71">
        <f t="shared" si="0"/>
        <v>0</v>
      </c>
      <c r="H52" s="71"/>
      <c r="I52" s="71">
        <f t="shared" si="1"/>
        <v>0</v>
      </c>
      <c r="J52" s="71"/>
      <c r="K52" s="71">
        <f t="shared" si="2"/>
        <v>0</v>
      </c>
      <c r="L52" s="71">
        <f t="shared" si="3"/>
        <v>0</v>
      </c>
    </row>
    <row r="53" spans="1:13" s="65" customFormat="1" ht="13.5">
      <c r="A53" s="57"/>
      <c r="B53" s="20" t="s">
        <v>91</v>
      </c>
      <c r="C53" s="20"/>
      <c r="D53" s="52" t="s">
        <v>13</v>
      </c>
      <c r="E53" s="71">
        <f>E50*0.2</f>
        <v>516</v>
      </c>
      <c r="F53" s="71"/>
      <c r="G53" s="71">
        <f t="shared" si="0"/>
        <v>0</v>
      </c>
      <c r="H53" s="71"/>
      <c r="I53" s="71">
        <f t="shared" si="1"/>
        <v>0</v>
      </c>
      <c r="J53" s="71"/>
      <c r="K53" s="71">
        <f t="shared" si="2"/>
        <v>0</v>
      </c>
      <c r="L53" s="71">
        <f t="shared" si="3"/>
        <v>0</v>
      </c>
    </row>
    <row r="54" spans="1:13" s="65" customFormat="1" ht="13.5">
      <c r="A54" s="57"/>
      <c r="B54" s="69" t="s">
        <v>90</v>
      </c>
      <c r="C54" s="69"/>
      <c r="D54" s="52" t="s">
        <v>8</v>
      </c>
      <c r="E54" s="71">
        <f>0.009*E50</f>
        <v>23.22</v>
      </c>
      <c r="F54" s="71"/>
      <c r="G54" s="71">
        <f t="shared" si="0"/>
        <v>0</v>
      </c>
      <c r="H54" s="71"/>
      <c r="I54" s="71">
        <f t="shared" si="1"/>
        <v>0</v>
      </c>
      <c r="J54" s="71"/>
      <c r="K54" s="71">
        <f t="shared" si="2"/>
        <v>0</v>
      </c>
      <c r="L54" s="71">
        <f t="shared" si="3"/>
        <v>0</v>
      </c>
    </row>
    <row r="55" spans="1:13" s="65" customFormat="1" ht="13.5">
      <c r="A55" s="57"/>
      <c r="B55" s="69" t="s">
        <v>38</v>
      </c>
      <c r="C55" s="69"/>
      <c r="D55" s="52" t="s">
        <v>10</v>
      </c>
      <c r="E55" s="71">
        <v>1700</v>
      </c>
      <c r="F55" s="71"/>
      <c r="G55" s="71">
        <f t="shared" si="0"/>
        <v>0</v>
      </c>
      <c r="H55" s="71"/>
      <c r="I55" s="71">
        <f t="shared" si="1"/>
        <v>0</v>
      </c>
      <c r="J55" s="71"/>
      <c r="K55" s="71">
        <f t="shared" si="2"/>
        <v>0</v>
      </c>
      <c r="L55" s="71">
        <f t="shared" si="3"/>
        <v>0</v>
      </c>
    </row>
    <row r="56" spans="1:13" s="65" customFormat="1" ht="13.5">
      <c r="A56" s="57"/>
      <c r="B56" s="69" t="s">
        <v>37</v>
      </c>
      <c r="C56" s="69"/>
      <c r="D56" s="52" t="s">
        <v>10</v>
      </c>
      <c r="E56" s="71">
        <v>550</v>
      </c>
      <c r="F56" s="71"/>
      <c r="G56" s="71">
        <f t="shared" si="0"/>
        <v>0</v>
      </c>
      <c r="H56" s="71"/>
      <c r="I56" s="71">
        <f t="shared" si="1"/>
        <v>0</v>
      </c>
      <c r="J56" s="71"/>
      <c r="K56" s="71">
        <f t="shared" si="2"/>
        <v>0</v>
      </c>
      <c r="L56" s="71">
        <f t="shared" si="3"/>
        <v>0</v>
      </c>
    </row>
    <row r="57" spans="1:13" s="65" customFormat="1" ht="13.5">
      <c r="A57" s="57"/>
      <c r="B57" s="69" t="s">
        <v>11</v>
      </c>
      <c r="C57" s="69"/>
      <c r="D57" s="52" t="s">
        <v>12</v>
      </c>
      <c r="E57" s="71">
        <f>E50*0.003</f>
        <v>7.74</v>
      </c>
      <c r="F57" s="71"/>
      <c r="G57" s="71">
        <f t="shared" si="0"/>
        <v>0</v>
      </c>
      <c r="H57" s="71"/>
      <c r="I57" s="71">
        <f t="shared" si="1"/>
        <v>0</v>
      </c>
      <c r="J57" s="71"/>
      <c r="K57" s="71">
        <f t="shared" si="2"/>
        <v>0</v>
      </c>
      <c r="L57" s="71">
        <f t="shared" si="3"/>
        <v>0</v>
      </c>
    </row>
    <row r="58" spans="1:13" s="65" customFormat="1" ht="13.5">
      <c r="A58" s="57">
        <v>8</v>
      </c>
      <c r="B58" s="106" t="s">
        <v>142</v>
      </c>
      <c r="C58" s="106"/>
      <c r="D58" s="52" t="s">
        <v>8</v>
      </c>
      <c r="E58" s="71">
        <v>58</v>
      </c>
      <c r="F58" s="71"/>
      <c r="G58" s="71">
        <f t="shared" si="0"/>
        <v>0</v>
      </c>
      <c r="H58" s="71"/>
      <c r="I58" s="71">
        <f t="shared" si="1"/>
        <v>0</v>
      </c>
      <c r="J58" s="71"/>
      <c r="K58" s="71">
        <f t="shared" si="2"/>
        <v>0</v>
      </c>
      <c r="L58" s="71">
        <f t="shared" si="3"/>
        <v>0</v>
      </c>
    </row>
    <row r="59" spans="1:13" s="65" customFormat="1" ht="13.5">
      <c r="A59" s="57"/>
      <c r="B59" s="105" t="s">
        <v>124</v>
      </c>
      <c r="C59" s="105"/>
      <c r="D59" s="52" t="s">
        <v>8</v>
      </c>
      <c r="E59" s="71">
        <f>E58*1.05</f>
        <v>60.900000000000006</v>
      </c>
      <c r="F59" s="71"/>
      <c r="G59" s="71">
        <f t="shared" si="0"/>
        <v>0</v>
      </c>
      <c r="H59" s="71"/>
      <c r="I59" s="71">
        <f t="shared" si="1"/>
        <v>0</v>
      </c>
      <c r="J59" s="71"/>
      <c r="K59" s="71">
        <f t="shared" si="2"/>
        <v>0</v>
      </c>
      <c r="L59" s="71">
        <f t="shared" si="3"/>
        <v>0</v>
      </c>
    </row>
    <row r="60" spans="1:13" s="65" customFormat="1" ht="13.5">
      <c r="A60" s="57"/>
      <c r="B60" s="105" t="s">
        <v>125</v>
      </c>
      <c r="C60" s="105"/>
      <c r="D60" s="52" t="s">
        <v>13</v>
      </c>
      <c r="E60" s="71">
        <f>E58*5.5</f>
        <v>319</v>
      </c>
      <c r="F60" s="71"/>
      <c r="G60" s="71">
        <f t="shared" si="0"/>
        <v>0</v>
      </c>
      <c r="H60" s="71"/>
      <c r="I60" s="71">
        <f t="shared" si="1"/>
        <v>0</v>
      </c>
      <c r="J60" s="71"/>
      <c r="K60" s="71">
        <f t="shared" si="2"/>
        <v>0</v>
      </c>
      <c r="L60" s="71">
        <f t="shared" si="3"/>
        <v>0</v>
      </c>
    </row>
    <row r="61" spans="1:13" s="65" customFormat="1" ht="13.5">
      <c r="A61" s="57"/>
      <c r="B61" s="105" t="s">
        <v>126</v>
      </c>
      <c r="C61" s="105"/>
      <c r="D61" s="52" t="s">
        <v>9</v>
      </c>
      <c r="E61" s="71">
        <f>E58*0.8</f>
        <v>46.400000000000006</v>
      </c>
      <c r="F61" s="71"/>
      <c r="G61" s="71">
        <f t="shared" si="0"/>
        <v>0</v>
      </c>
      <c r="H61" s="71"/>
      <c r="I61" s="71">
        <f t="shared" si="1"/>
        <v>0</v>
      </c>
      <c r="J61" s="71"/>
      <c r="K61" s="71">
        <f t="shared" si="2"/>
        <v>0</v>
      </c>
      <c r="L61" s="71">
        <f t="shared" si="3"/>
        <v>0</v>
      </c>
    </row>
    <row r="62" spans="1:13" s="65" customFormat="1" ht="13.5">
      <c r="A62" s="57"/>
      <c r="B62" s="69" t="s">
        <v>11</v>
      </c>
      <c r="C62" s="69"/>
      <c r="D62" s="52" t="s">
        <v>12</v>
      </c>
      <c r="E62" s="71">
        <f>E58*0.1</f>
        <v>5.8000000000000007</v>
      </c>
      <c r="F62" s="71"/>
      <c r="G62" s="71">
        <f t="shared" si="0"/>
        <v>0</v>
      </c>
      <c r="H62" s="71"/>
      <c r="I62" s="71">
        <f t="shared" si="1"/>
        <v>0</v>
      </c>
      <c r="J62" s="71"/>
      <c r="K62" s="71">
        <f t="shared" si="2"/>
        <v>0</v>
      </c>
      <c r="L62" s="71">
        <f t="shared" si="3"/>
        <v>0</v>
      </c>
    </row>
    <row r="63" spans="1:13" s="65" customFormat="1" ht="121.75" customHeight="1">
      <c r="A63" s="57">
        <v>9</v>
      </c>
      <c r="B63" s="205" t="s">
        <v>311</v>
      </c>
      <c r="C63" s="116"/>
      <c r="D63" s="55" t="s">
        <v>9</v>
      </c>
      <c r="E63" s="28">
        <v>15</v>
      </c>
      <c r="F63" s="28"/>
      <c r="G63" s="71">
        <f t="shared" si="0"/>
        <v>0</v>
      </c>
      <c r="H63" s="28"/>
      <c r="I63" s="71">
        <f t="shared" si="1"/>
        <v>0</v>
      </c>
      <c r="J63" s="28"/>
      <c r="K63" s="71">
        <f t="shared" si="2"/>
        <v>0</v>
      </c>
      <c r="L63" s="71">
        <f t="shared" si="3"/>
        <v>0</v>
      </c>
      <c r="M63" s="197"/>
    </row>
    <row r="64" spans="1:13" s="65" customFormat="1" ht="119.4" customHeight="1">
      <c r="A64" s="57">
        <v>10</v>
      </c>
      <c r="B64" s="199" t="s">
        <v>123</v>
      </c>
      <c r="C64" s="199"/>
      <c r="D64" s="55" t="s">
        <v>9</v>
      </c>
      <c r="E64" s="28">
        <v>9</v>
      </c>
      <c r="F64" s="28"/>
      <c r="G64" s="71">
        <f t="shared" si="0"/>
        <v>0</v>
      </c>
      <c r="H64" s="28"/>
      <c r="I64" s="71">
        <f t="shared" si="1"/>
        <v>0</v>
      </c>
      <c r="J64" s="28"/>
      <c r="K64" s="71">
        <f t="shared" si="2"/>
        <v>0</v>
      </c>
      <c r="L64" s="71">
        <f>K64+I64+G64</f>
        <v>0</v>
      </c>
      <c r="M64" s="198"/>
    </row>
    <row r="65" spans="1:12" s="65" customFormat="1" ht="94.75" customHeight="1">
      <c r="A65" s="57">
        <v>11</v>
      </c>
      <c r="B65" s="77" t="s">
        <v>128</v>
      </c>
      <c r="C65" s="77"/>
      <c r="D65" s="55" t="s">
        <v>9</v>
      </c>
      <c r="E65" s="28">
        <v>84</v>
      </c>
      <c r="F65" s="28"/>
      <c r="G65" s="71">
        <f t="shared" si="0"/>
        <v>0</v>
      </c>
      <c r="H65" s="28"/>
      <c r="I65" s="71">
        <f t="shared" si="1"/>
        <v>0</v>
      </c>
      <c r="J65" s="28"/>
      <c r="K65" s="71">
        <f t="shared" si="2"/>
        <v>0</v>
      </c>
      <c r="L65" s="71">
        <f t="shared" si="3"/>
        <v>0</v>
      </c>
    </row>
    <row r="66" spans="1:12" s="65" customFormat="1" ht="13.5">
      <c r="A66" s="57">
        <v>12</v>
      </c>
      <c r="B66" s="77" t="s">
        <v>129</v>
      </c>
      <c r="C66" s="27"/>
      <c r="D66" s="55" t="s">
        <v>9</v>
      </c>
      <c r="E66" s="28">
        <v>105</v>
      </c>
      <c r="F66" s="28"/>
      <c r="G66" s="71">
        <f t="shared" si="0"/>
        <v>0</v>
      </c>
      <c r="H66" s="28"/>
      <c r="I66" s="71">
        <f t="shared" si="1"/>
        <v>0</v>
      </c>
      <c r="J66" s="28"/>
      <c r="K66" s="71">
        <f t="shared" si="2"/>
        <v>0</v>
      </c>
      <c r="L66" s="71">
        <f t="shared" si="3"/>
        <v>0</v>
      </c>
    </row>
    <row r="67" spans="1:12" s="65" customFormat="1" ht="40.5">
      <c r="A67" s="57">
        <v>13</v>
      </c>
      <c r="B67" s="110" t="s">
        <v>130</v>
      </c>
      <c r="C67" s="203"/>
      <c r="D67" s="156" t="s">
        <v>131</v>
      </c>
      <c r="E67" s="91">
        <v>300</v>
      </c>
      <c r="F67" s="91"/>
      <c r="G67" s="71">
        <f t="shared" si="0"/>
        <v>0</v>
      </c>
      <c r="H67" s="91"/>
      <c r="I67" s="71">
        <f t="shared" si="1"/>
        <v>0</v>
      </c>
      <c r="J67" s="91"/>
      <c r="K67" s="71">
        <f t="shared" si="2"/>
        <v>0</v>
      </c>
      <c r="L67" s="71">
        <f t="shared" si="3"/>
        <v>0</v>
      </c>
    </row>
    <row r="68" spans="1:12" s="65" customFormat="1" ht="13.5">
      <c r="A68" s="57">
        <v>14</v>
      </c>
      <c r="B68" s="110" t="s">
        <v>132</v>
      </c>
      <c r="C68" s="203"/>
      <c r="D68" s="156" t="s">
        <v>133</v>
      </c>
      <c r="E68" s="91">
        <v>250</v>
      </c>
      <c r="F68" s="91"/>
      <c r="G68" s="71">
        <f t="shared" si="0"/>
        <v>0</v>
      </c>
      <c r="H68" s="91"/>
      <c r="I68" s="71">
        <f t="shared" si="1"/>
        <v>0</v>
      </c>
      <c r="J68" s="91"/>
      <c r="K68" s="71">
        <f t="shared" si="2"/>
        <v>0</v>
      </c>
      <c r="L68" s="71">
        <f t="shared" si="3"/>
        <v>0</v>
      </c>
    </row>
    <row r="69" spans="1:12" s="65" customFormat="1" ht="13.5">
      <c r="A69" s="57">
        <v>15</v>
      </c>
      <c r="B69" s="110" t="s">
        <v>134</v>
      </c>
      <c r="C69" s="110"/>
      <c r="D69" s="155" t="s">
        <v>135</v>
      </c>
      <c r="E69" s="91">
        <v>15</v>
      </c>
      <c r="F69" s="91"/>
      <c r="G69" s="71">
        <f t="shared" si="0"/>
        <v>0</v>
      </c>
      <c r="H69" s="91"/>
      <c r="I69" s="71">
        <f t="shared" si="1"/>
        <v>0</v>
      </c>
      <c r="J69" s="91"/>
      <c r="K69" s="71">
        <f t="shared" si="2"/>
        <v>0</v>
      </c>
      <c r="L69" s="71">
        <f t="shared" si="3"/>
        <v>0</v>
      </c>
    </row>
    <row r="70" spans="1:12" s="65" customFormat="1" ht="13.5">
      <c r="A70" s="57">
        <v>16</v>
      </c>
      <c r="B70" s="110" t="s">
        <v>136</v>
      </c>
      <c r="C70" s="203"/>
      <c r="D70" s="156" t="s">
        <v>131</v>
      </c>
      <c r="E70" s="91">
        <v>550</v>
      </c>
      <c r="F70" s="91"/>
      <c r="G70" s="71">
        <f t="shared" si="0"/>
        <v>0</v>
      </c>
      <c r="H70" s="91"/>
      <c r="I70" s="71">
        <f t="shared" si="1"/>
        <v>0</v>
      </c>
      <c r="J70" s="91"/>
      <c r="K70" s="71">
        <f t="shared" si="2"/>
        <v>0</v>
      </c>
      <c r="L70" s="71">
        <f t="shared" si="3"/>
        <v>0</v>
      </c>
    </row>
    <row r="71" spans="1:12" s="65" customFormat="1" ht="13.5">
      <c r="A71" s="57"/>
      <c r="B71" s="107" t="s">
        <v>11</v>
      </c>
      <c r="C71" s="107"/>
      <c r="D71" s="155" t="s">
        <v>12</v>
      </c>
      <c r="E71" s="91">
        <f>SUM(E61:E70)*0.1</f>
        <v>138.02000000000001</v>
      </c>
      <c r="F71" s="91"/>
      <c r="G71" s="71">
        <f t="shared" si="0"/>
        <v>0</v>
      </c>
      <c r="H71" s="91"/>
      <c r="I71" s="71">
        <f t="shared" si="1"/>
        <v>0</v>
      </c>
      <c r="J71" s="91"/>
      <c r="K71" s="71">
        <f t="shared" si="2"/>
        <v>0</v>
      </c>
      <c r="L71" s="71">
        <f t="shared" si="3"/>
        <v>0</v>
      </c>
    </row>
    <row r="72" spans="1:12" s="65" customFormat="1" ht="103.75" customHeight="1">
      <c r="A72" s="57">
        <v>17</v>
      </c>
      <c r="B72" s="111" t="s">
        <v>141</v>
      </c>
      <c r="C72" s="111"/>
      <c r="D72" s="157" t="s">
        <v>9</v>
      </c>
      <c r="E72" s="92">
        <v>2</v>
      </c>
      <c r="F72" s="16"/>
      <c r="G72" s="71">
        <f t="shared" si="0"/>
        <v>0</v>
      </c>
      <c r="H72" s="109"/>
      <c r="I72" s="71">
        <f t="shared" si="1"/>
        <v>0</v>
      </c>
      <c r="J72" s="109"/>
      <c r="K72" s="71">
        <f t="shared" si="2"/>
        <v>0</v>
      </c>
      <c r="L72" s="71">
        <f t="shared" si="3"/>
        <v>0</v>
      </c>
    </row>
    <row r="73" spans="1:12" s="65" customFormat="1" ht="94.75" customHeight="1">
      <c r="A73" s="57">
        <v>18</v>
      </c>
      <c r="B73" s="111" t="s">
        <v>140</v>
      </c>
      <c r="C73" s="111"/>
      <c r="D73" s="157" t="s">
        <v>9</v>
      </c>
      <c r="E73" s="92">
        <v>2</v>
      </c>
      <c r="F73" s="16"/>
      <c r="G73" s="71">
        <f t="shared" si="0"/>
        <v>0</v>
      </c>
      <c r="H73" s="109"/>
      <c r="I73" s="71">
        <f t="shared" ref="I73:I80" si="5">H73*E73</f>
        <v>0</v>
      </c>
      <c r="J73" s="109"/>
      <c r="K73" s="71">
        <f t="shared" ref="K73:K80" si="6">J73*E73</f>
        <v>0</v>
      </c>
      <c r="L73" s="71">
        <f t="shared" ref="L73:L80" si="7">K73+I73+G73</f>
        <v>0</v>
      </c>
    </row>
    <row r="74" spans="1:12" s="65" customFormat="1" ht="13.5">
      <c r="A74" s="57">
        <v>19</v>
      </c>
      <c r="B74" s="111" t="s">
        <v>206</v>
      </c>
      <c r="C74" s="158"/>
      <c r="D74" s="159" t="s">
        <v>9</v>
      </c>
      <c r="E74" s="160">
        <v>2</v>
      </c>
      <c r="F74" s="91"/>
      <c r="G74" s="71">
        <f t="shared" ref="G74" si="8">F74*E74</f>
        <v>0</v>
      </c>
      <c r="H74" s="109"/>
      <c r="I74" s="71">
        <f t="shared" ref="I74" si="9">H74*E74</f>
        <v>0</v>
      </c>
      <c r="J74" s="109"/>
      <c r="K74" s="71">
        <f t="shared" ref="K74" si="10">J74*E74</f>
        <v>0</v>
      </c>
      <c r="L74" s="71">
        <f t="shared" ref="L74" si="11">K74+I74+G74</f>
        <v>0</v>
      </c>
    </row>
    <row r="75" spans="1:12" s="65" customFormat="1" ht="27">
      <c r="A75" s="57">
        <v>20</v>
      </c>
      <c r="B75" s="206" t="s">
        <v>144</v>
      </c>
      <c r="C75" s="117"/>
      <c r="D75" s="156" t="s">
        <v>135</v>
      </c>
      <c r="E75" s="91">
        <v>2</v>
      </c>
      <c r="F75" s="91"/>
      <c r="G75" s="71">
        <f t="shared" si="0"/>
        <v>0</v>
      </c>
      <c r="H75" s="91"/>
      <c r="I75" s="71">
        <f t="shared" si="5"/>
        <v>0</v>
      </c>
      <c r="J75" s="91"/>
      <c r="K75" s="71">
        <f t="shared" si="6"/>
        <v>0</v>
      </c>
      <c r="L75" s="71">
        <f t="shared" si="7"/>
        <v>0</v>
      </c>
    </row>
    <row r="76" spans="1:12" s="65" customFormat="1" ht="16.75" customHeight="1">
      <c r="A76" s="57">
        <v>21</v>
      </c>
      <c r="B76" s="206" t="s">
        <v>145</v>
      </c>
      <c r="C76" s="117"/>
      <c r="D76" s="156" t="s">
        <v>143</v>
      </c>
      <c r="E76" s="91">
        <v>12</v>
      </c>
      <c r="F76" s="91"/>
      <c r="G76" s="71">
        <f t="shared" si="0"/>
        <v>0</v>
      </c>
      <c r="H76" s="91"/>
      <c r="I76" s="71">
        <f t="shared" si="5"/>
        <v>0</v>
      </c>
      <c r="J76" s="91"/>
      <c r="K76" s="71">
        <f t="shared" si="6"/>
        <v>0</v>
      </c>
      <c r="L76" s="71">
        <f t="shared" si="7"/>
        <v>0</v>
      </c>
    </row>
    <row r="77" spans="1:12" s="65" customFormat="1" ht="27">
      <c r="A77" s="57">
        <v>22</v>
      </c>
      <c r="B77" s="207" t="s">
        <v>147</v>
      </c>
      <c r="C77" s="118"/>
      <c r="D77" s="156" t="s">
        <v>135</v>
      </c>
      <c r="E77" s="91">
        <v>2</v>
      </c>
      <c r="F77" s="91"/>
      <c r="G77" s="71">
        <f t="shared" si="0"/>
        <v>0</v>
      </c>
      <c r="H77" s="91"/>
      <c r="I77" s="71">
        <f t="shared" si="5"/>
        <v>0</v>
      </c>
      <c r="J77" s="91"/>
      <c r="K77" s="71">
        <f t="shared" si="6"/>
        <v>0</v>
      </c>
      <c r="L77" s="71">
        <f t="shared" si="7"/>
        <v>0</v>
      </c>
    </row>
    <row r="78" spans="1:12" s="65" customFormat="1" ht="124.25" customHeight="1">
      <c r="A78" s="57">
        <v>23</v>
      </c>
      <c r="B78" s="206" t="s">
        <v>304</v>
      </c>
      <c r="C78" s="117"/>
      <c r="D78" s="156" t="s">
        <v>143</v>
      </c>
      <c r="E78" s="91">
        <v>150</v>
      </c>
      <c r="F78" s="91"/>
      <c r="G78" s="71">
        <f t="shared" ref="G78" si="12">F78*E78</f>
        <v>0</v>
      </c>
      <c r="H78" s="91"/>
      <c r="I78" s="71">
        <f t="shared" ref="I78" si="13">H78*E78</f>
        <v>0</v>
      </c>
      <c r="J78" s="91"/>
      <c r="K78" s="71">
        <f t="shared" ref="K78" si="14">J78*E78</f>
        <v>0</v>
      </c>
      <c r="L78" s="71">
        <f t="shared" ref="L78" si="15">K78+I78+G78</f>
        <v>0</v>
      </c>
    </row>
    <row r="79" spans="1:12" s="65" customFormat="1" ht="16.75" customHeight="1">
      <c r="A79" s="57">
        <v>24</v>
      </c>
      <c r="B79" s="207" t="s">
        <v>146</v>
      </c>
      <c r="C79" s="118"/>
      <c r="D79" s="156" t="s">
        <v>143</v>
      </c>
      <c r="E79" s="91">
        <v>8</v>
      </c>
      <c r="F79" s="91"/>
      <c r="G79" s="71">
        <f t="shared" si="0"/>
        <v>0</v>
      </c>
      <c r="H79" s="91"/>
      <c r="I79" s="71">
        <f t="shared" si="5"/>
        <v>0</v>
      </c>
      <c r="J79" s="91"/>
      <c r="K79" s="71">
        <f t="shared" si="6"/>
        <v>0</v>
      </c>
      <c r="L79" s="71">
        <f t="shared" si="7"/>
        <v>0</v>
      </c>
    </row>
    <row r="80" spans="1:12" s="65" customFormat="1" ht="27">
      <c r="A80" s="57">
        <v>25</v>
      </c>
      <c r="B80" s="74" t="s">
        <v>69</v>
      </c>
      <c r="C80" s="74"/>
      <c r="D80" s="52" t="s">
        <v>23</v>
      </c>
      <c r="E80" s="71">
        <v>7</v>
      </c>
      <c r="F80" s="71"/>
      <c r="G80" s="71">
        <f t="shared" si="0"/>
        <v>0</v>
      </c>
      <c r="H80" s="71"/>
      <c r="I80" s="71">
        <f t="shared" si="5"/>
        <v>0</v>
      </c>
      <c r="J80" s="71"/>
      <c r="K80" s="71">
        <f t="shared" si="6"/>
        <v>0</v>
      </c>
      <c r="L80" s="71">
        <f t="shared" si="7"/>
        <v>0</v>
      </c>
    </row>
    <row r="81" spans="1:12" s="65" customFormat="1" ht="16.25" customHeight="1">
      <c r="A81" s="80"/>
      <c r="B81" s="9" t="s">
        <v>6</v>
      </c>
      <c r="C81" s="9"/>
      <c r="D81" s="52"/>
      <c r="E81" s="71"/>
      <c r="F81" s="71"/>
      <c r="G81" s="104">
        <f>SUM(G8:G80)</f>
        <v>0</v>
      </c>
      <c r="H81" s="104"/>
      <c r="I81" s="104">
        <f>SUM(I9:I80)</f>
        <v>0</v>
      </c>
      <c r="J81" s="104"/>
      <c r="K81" s="104">
        <f>SUM(K9:K80)</f>
        <v>0</v>
      </c>
      <c r="L81" s="104">
        <f>SUM(L8:L80)</f>
        <v>0</v>
      </c>
    </row>
    <row r="82" spans="1:12" s="102" customFormat="1" ht="16.25" customHeight="1">
      <c r="A82" s="80"/>
      <c r="B82" s="103" t="s">
        <v>14</v>
      </c>
      <c r="C82" s="103"/>
      <c r="D82" s="59" t="s">
        <v>371</v>
      </c>
      <c r="E82" s="71"/>
      <c r="F82" s="72"/>
      <c r="G82" s="71"/>
      <c r="H82" s="71"/>
      <c r="I82" s="71"/>
      <c r="J82" s="71"/>
      <c r="K82" s="72"/>
      <c r="L82" s="71" t="e">
        <f>L81*D82</f>
        <v>#VALUE!</v>
      </c>
    </row>
    <row r="83" spans="1:12" s="102" customFormat="1" ht="16.25" customHeight="1">
      <c r="A83" s="80"/>
      <c r="B83" s="103" t="s">
        <v>6</v>
      </c>
      <c r="C83" s="103"/>
      <c r="D83" s="52"/>
      <c r="E83" s="71"/>
      <c r="F83" s="72"/>
      <c r="G83" s="72"/>
      <c r="H83" s="71"/>
      <c r="I83" s="71"/>
      <c r="J83" s="71"/>
      <c r="K83" s="72"/>
      <c r="L83" s="71" t="e">
        <f>L82+L81</f>
        <v>#VALUE!</v>
      </c>
    </row>
    <row r="84" spans="1:12" s="102" customFormat="1" ht="16.25" customHeight="1">
      <c r="A84" s="80"/>
      <c r="B84" s="103" t="s">
        <v>15</v>
      </c>
      <c r="C84" s="103"/>
      <c r="D84" s="59" t="s">
        <v>371</v>
      </c>
      <c r="E84" s="71"/>
      <c r="F84" s="72"/>
      <c r="G84" s="72"/>
      <c r="H84" s="71"/>
      <c r="I84" s="71"/>
      <c r="J84" s="71"/>
      <c r="K84" s="72"/>
      <c r="L84" s="71" t="e">
        <f>L83*D84</f>
        <v>#VALUE!</v>
      </c>
    </row>
    <row r="85" spans="1:12" s="102" customFormat="1" ht="16.25" customHeight="1">
      <c r="A85" s="80"/>
      <c r="B85" s="103" t="s">
        <v>6</v>
      </c>
      <c r="C85" s="103"/>
      <c r="D85" s="52"/>
      <c r="E85" s="71"/>
      <c r="F85" s="72"/>
      <c r="G85" s="72"/>
      <c r="H85" s="71"/>
      <c r="I85" s="71"/>
      <c r="J85" s="71"/>
      <c r="K85" s="72"/>
      <c r="L85" s="71" t="e">
        <f>SUM(L83:L84)</f>
        <v>#VALUE!</v>
      </c>
    </row>
    <row r="86" spans="1:12" s="65" customFormat="1" ht="16.25" customHeight="1">
      <c r="A86" s="81"/>
      <c r="B86" s="103" t="s">
        <v>16</v>
      </c>
      <c r="C86" s="103"/>
      <c r="D86" s="59" t="s">
        <v>371</v>
      </c>
      <c r="E86" s="71"/>
      <c r="F86" s="72"/>
      <c r="G86" s="72"/>
      <c r="H86" s="71"/>
      <c r="I86" s="71"/>
      <c r="J86" s="71"/>
      <c r="K86" s="72"/>
      <c r="L86" s="71" t="e">
        <f>L85*D86</f>
        <v>#VALUE!</v>
      </c>
    </row>
    <row r="87" spans="1:12" s="65" customFormat="1" ht="16.25" customHeight="1">
      <c r="A87" s="81"/>
      <c r="B87" s="103" t="s">
        <v>6</v>
      </c>
      <c r="C87" s="103"/>
      <c r="D87" s="52"/>
      <c r="E87" s="71"/>
      <c r="F87" s="72"/>
      <c r="G87" s="72"/>
      <c r="H87" s="71"/>
      <c r="I87" s="71"/>
      <c r="J87" s="71"/>
      <c r="K87" s="72"/>
      <c r="L87" s="71" t="e">
        <f>SUM(L85:L86)</f>
        <v>#VALUE!</v>
      </c>
    </row>
    <row r="88" spans="1:12" s="65" customFormat="1" ht="16.25" customHeight="1">
      <c r="A88" s="80"/>
      <c r="B88" s="103" t="s">
        <v>19</v>
      </c>
      <c r="C88" s="103"/>
      <c r="D88" s="59" t="s">
        <v>371</v>
      </c>
      <c r="E88" s="71"/>
      <c r="F88" s="72"/>
      <c r="G88" s="72"/>
      <c r="H88" s="71"/>
      <c r="I88" s="71"/>
      <c r="J88" s="71"/>
      <c r="K88" s="72"/>
      <c r="L88" s="71" t="e">
        <f>L87*D88</f>
        <v>#VALUE!</v>
      </c>
    </row>
    <row r="89" spans="1:12" s="65" customFormat="1" ht="16.25" customHeight="1">
      <c r="A89" s="82"/>
      <c r="B89" s="103" t="s">
        <v>28</v>
      </c>
      <c r="C89" s="103"/>
      <c r="D89" s="59">
        <v>0.02</v>
      </c>
      <c r="E89" s="71"/>
      <c r="F89" s="72"/>
      <c r="G89" s="72"/>
      <c r="H89" s="71"/>
      <c r="I89" s="71"/>
      <c r="J89" s="71"/>
      <c r="K89" s="72"/>
      <c r="L89" s="71">
        <f>I81*D89</f>
        <v>0</v>
      </c>
    </row>
    <row r="90" spans="1:12" s="65" customFormat="1" ht="16.25" customHeight="1">
      <c r="A90" s="83"/>
      <c r="B90" s="103" t="s">
        <v>6</v>
      </c>
      <c r="C90" s="103"/>
      <c r="D90" s="52"/>
      <c r="E90" s="71"/>
      <c r="F90" s="72"/>
      <c r="G90" s="72"/>
      <c r="H90" s="71"/>
      <c r="I90" s="71"/>
      <c r="J90" s="71"/>
      <c r="K90" s="72"/>
      <c r="L90" s="71" t="e">
        <f>L89+L88+L87</f>
        <v>#VALUE!</v>
      </c>
    </row>
    <row r="91" spans="1:12" s="65" customFormat="1" ht="16.25" customHeight="1">
      <c r="A91" s="83"/>
      <c r="B91" s="9" t="s">
        <v>17</v>
      </c>
      <c r="C91" s="9"/>
      <c r="D91" s="59">
        <v>0.18</v>
      </c>
      <c r="E91" s="71"/>
      <c r="F91" s="72"/>
      <c r="G91" s="72"/>
      <c r="H91" s="72"/>
      <c r="I91" s="72"/>
      <c r="J91" s="72"/>
      <c r="K91" s="72"/>
      <c r="L91" s="71" t="e">
        <f>L90*D91</f>
        <v>#VALUE!</v>
      </c>
    </row>
    <row r="92" spans="1:12" s="65" customFormat="1" ht="16.25" customHeight="1">
      <c r="A92" s="83"/>
      <c r="B92" s="70" t="s">
        <v>18</v>
      </c>
      <c r="C92" s="70"/>
      <c r="D92" s="60"/>
      <c r="E92" s="72"/>
      <c r="F92" s="72"/>
      <c r="G92" s="72"/>
      <c r="H92" s="72"/>
      <c r="I92" s="72"/>
      <c r="J92" s="72"/>
      <c r="K92" s="72"/>
      <c r="L92" s="73" t="e">
        <f>L91+L90</f>
        <v>#VALUE!</v>
      </c>
    </row>
  </sheetData>
  <mergeCells count="12">
    <mergeCell ref="B2:L2"/>
    <mergeCell ref="F3:I3"/>
    <mergeCell ref="A1:L1"/>
    <mergeCell ref="J3:L3"/>
    <mergeCell ref="J4:K4"/>
    <mergeCell ref="L4:L5"/>
    <mergeCell ref="A4:A5"/>
    <mergeCell ref="B4:B5"/>
    <mergeCell ref="D4:D5"/>
    <mergeCell ref="E4:E5"/>
    <mergeCell ref="F4:G4"/>
    <mergeCell ref="H4:I4"/>
  </mergeCells>
  <pageMargins left="0.7" right="0.7" top="0.75" bottom="0.75" header="0.3" footer="0.3"/>
  <pageSetup orientation="landscape" horizontalDpi="300" verticalDpi="300" r:id="rId1"/>
  <ignoredErrors>
    <ignoredError sqref="L83 L85:L87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255"/>
  <sheetViews>
    <sheetView topLeftCell="C238" workbookViewId="0">
      <selection activeCell="J249" sqref="J249"/>
    </sheetView>
  </sheetViews>
  <sheetFormatPr defaultRowHeight="14.5"/>
  <cols>
    <col min="2" max="2" width="73.54296875" customWidth="1"/>
    <col min="3" max="3" width="74.54296875" customWidth="1"/>
    <col min="8" max="8" width="12" customWidth="1"/>
    <col min="10" max="10" width="11.453125" customWidth="1"/>
    <col min="13" max="13" width="11.36328125" customWidth="1"/>
  </cols>
  <sheetData>
    <row r="1" spans="1:13" ht="16">
      <c r="A1" s="314" t="s">
        <v>207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5"/>
      <c r="M1" s="315"/>
    </row>
    <row r="2" spans="1:13" ht="16">
      <c r="A2" s="3"/>
      <c r="B2" s="316" t="s">
        <v>208</v>
      </c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</row>
    <row r="3" spans="1:13" ht="16">
      <c r="A3" s="317" t="s">
        <v>209</v>
      </c>
      <c r="B3" s="317"/>
      <c r="C3" s="45"/>
      <c r="D3" s="318" t="s">
        <v>149</v>
      </c>
      <c r="E3" s="318"/>
      <c r="F3" s="318"/>
      <c r="G3" s="318"/>
      <c r="H3" s="120"/>
      <c r="I3" s="120"/>
      <c r="J3" s="120"/>
      <c r="K3" s="120"/>
      <c r="L3" s="120"/>
      <c r="M3" s="120"/>
    </row>
    <row r="4" spans="1:13">
      <c r="A4" s="310" t="s">
        <v>210</v>
      </c>
      <c r="B4" s="310"/>
      <c r="C4" s="310"/>
      <c r="D4" s="310"/>
      <c r="E4" s="310"/>
      <c r="F4" s="310"/>
      <c r="G4" s="310"/>
      <c r="H4" s="311" t="s">
        <v>150</v>
      </c>
      <c r="I4" s="311"/>
      <c r="J4" s="311"/>
      <c r="K4" s="312" t="e">
        <f>M255</f>
        <v>#VALUE!</v>
      </c>
      <c r="L4" s="313"/>
      <c r="M4" s="121" t="s">
        <v>12</v>
      </c>
    </row>
    <row r="5" spans="1:13">
      <c r="A5" s="298" t="s">
        <v>26</v>
      </c>
      <c r="B5" s="298" t="s">
        <v>0</v>
      </c>
      <c r="C5" s="162"/>
      <c r="D5" s="298" t="s">
        <v>1</v>
      </c>
      <c r="E5" s="300" t="s">
        <v>151</v>
      </c>
      <c r="F5" s="300" t="s">
        <v>2</v>
      </c>
      <c r="G5" s="302" t="s">
        <v>3</v>
      </c>
      <c r="H5" s="303"/>
      <c r="I5" s="302" t="s">
        <v>4</v>
      </c>
      <c r="J5" s="303"/>
      <c r="K5" s="296" t="s">
        <v>5</v>
      </c>
      <c r="L5" s="297"/>
      <c r="M5" s="298" t="s">
        <v>6</v>
      </c>
    </row>
    <row r="6" spans="1:13" ht="27">
      <c r="A6" s="299"/>
      <c r="B6" s="299"/>
      <c r="C6" s="202"/>
      <c r="D6" s="299"/>
      <c r="E6" s="301"/>
      <c r="F6" s="301"/>
      <c r="G6" s="15" t="s">
        <v>7</v>
      </c>
      <c r="H6" s="15" t="s">
        <v>6</v>
      </c>
      <c r="I6" s="15" t="s">
        <v>7</v>
      </c>
      <c r="J6" s="15" t="s">
        <v>6</v>
      </c>
      <c r="K6" s="15" t="s">
        <v>7</v>
      </c>
      <c r="L6" s="15" t="s">
        <v>6</v>
      </c>
      <c r="M6" s="299"/>
    </row>
    <row r="7" spans="1:13">
      <c r="A7" s="7">
        <v>1</v>
      </c>
      <c r="B7" s="7">
        <v>2</v>
      </c>
      <c r="C7" s="7"/>
      <c r="D7" s="7">
        <v>3</v>
      </c>
      <c r="E7" s="7">
        <v>4</v>
      </c>
      <c r="F7" s="7">
        <v>5</v>
      </c>
      <c r="G7" s="7">
        <v>6</v>
      </c>
      <c r="H7" s="7">
        <v>7</v>
      </c>
      <c r="I7" s="7">
        <v>8</v>
      </c>
      <c r="J7" s="7">
        <v>9</v>
      </c>
      <c r="K7" s="7">
        <v>10</v>
      </c>
      <c r="L7" s="7">
        <v>11</v>
      </c>
      <c r="M7" s="7">
        <v>12</v>
      </c>
    </row>
    <row r="8" spans="1:13">
      <c r="A8" s="7"/>
      <c r="B8" s="122" t="s">
        <v>211</v>
      </c>
      <c r="C8" s="122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ht="40.5">
      <c r="A9" s="163">
        <v>1</v>
      </c>
      <c r="B9" s="93" t="s">
        <v>212</v>
      </c>
      <c r="C9" s="209"/>
      <c r="D9" s="133" t="s">
        <v>138</v>
      </c>
      <c r="E9" s="133"/>
      <c r="F9" s="134">
        <v>1</v>
      </c>
      <c r="G9" s="91"/>
      <c r="H9" s="6">
        <f t="shared" ref="H9" si="0">G9*F9</f>
        <v>0</v>
      </c>
      <c r="I9" s="91"/>
      <c r="J9" s="6">
        <f t="shared" ref="J9" si="1">I9*F9</f>
        <v>0</v>
      </c>
      <c r="K9" s="91"/>
      <c r="L9" s="6">
        <f t="shared" ref="L9" si="2">K9*F9</f>
        <v>0</v>
      </c>
      <c r="M9" s="109">
        <f t="shared" ref="M9" si="3">L9+J9+H9</f>
        <v>0</v>
      </c>
    </row>
    <row r="10" spans="1:13" ht="40.5">
      <c r="A10" s="286">
        <v>2</v>
      </c>
      <c r="B10" s="93" t="s">
        <v>213</v>
      </c>
      <c r="C10" s="93"/>
      <c r="D10" s="164" t="s">
        <v>214</v>
      </c>
      <c r="E10" s="164"/>
      <c r="F10" s="128">
        <f>(30+2.4+2.4)*3</f>
        <v>104.39999999999999</v>
      </c>
      <c r="G10" s="7"/>
      <c r="H10" s="7"/>
      <c r="I10" s="7"/>
      <c r="J10" s="7"/>
      <c r="K10" s="7"/>
      <c r="L10" s="7"/>
      <c r="M10" s="7"/>
    </row>
    <row r="11" spans="1:13">
      <c r="A11" s="287"/>
      <c r="B11" s="9" t="s">
        <v>137</v>
      </c>
      <c r="C11" s="9"/>
      <c r="D11" s="7" t="s">
        <v>215</v>
      </c>
      <c r="E11" s="28">
        <v>1</v>
      </c>
      <c r="F11" s="28">
        <f>F10*E11</f>
        <v>104.39999999999999</v>
      </c>
      <c r="G11" s="16"/>
      <c r="H11" s="6"/>
      <c r="I11" s="6"/>
      <c r="J11" s="6">
        <f t="shared" ref="J11" si="4">I11*F11</f>
        <v>0</v>
      </c>
      <c r="K11" s="6"/>
      <c r="L11" s="6"/>
      <c r="M11" s="109">
        <f t="shared" ref="M11:M16" si="5">L11+J11+H11</f>
        <v>0</v>
      </c>
    </row>
    <row r="12" spans="1:13">
      <c r="A12" s="287"/>
      <c r="B12" s="87" t="s">
        <v>139</v>
      </c>
      <c r="C12" s="87"/>
      <c r="D12" s="15" t="s">
        <v>12</v>
      </c>
      <c r="E12" s="126">
        <v>5.5E-2</v>
      </c>
      <c r="F12" s="91">
        <f>E12*F10</f>
        <v>5.742</v>
      </c>
      <c r="G12" s="91"/>
      <c r="H12" s="6"/>
      <c r="I12" s="91"/>
      <c r="J12" s="6"/>
      <c r="K12" s="91"/>
      <c r="L12" s="6">
        <f t="shared" ref="L12" si="6">K12*F12</f>
        <v>0</v>
      </c>
      <c r="M12" s="109">
        <f t="shared" si="5"/>
        <v>0</v>
      </c>
    </row>
    <row r="13" spans="1:13">
      <c r="A13" s="287"/>
      <c r="B13" s="63" t="s">
        <v>113</v>
      </c>
      <c r="C13" s="63"/>
      <c r="D13" s="97" t="s">
        <v>8</v>
      </c>
      <c r="E13" s="97">
        <v>1.05</v>
      </c>
      <c r="F13" s="6">
        <f>E13*F10</f>
        <v>109.61999999999999</v>
      </c>
      <c r="G13" s="6"/>
      <c r="H13" s="6">
        <f t="shared" ref="H13:H16" si="7">G13*F13</f>
        <v>0</v>
      </c>
      <c r="I13" s="6"/>
      <c r="J13" s="6"/>
      <c r="K13" s="6"/>
      <c r="L13" s="6"/>
      <c r="M13" s="109">
        <f t="shared" si="5"/>
        <v>0</v>
      </c>
    </row>
    <row r="14" spans="1:13" ht="27">
      <c r="A14" s="287"/>
      <c r="B14" s="9" t="s">
        <v>166</v>
      </c>
      <c r="C14" s="9"/>
      <c r="D14" s="95" t="s">
        <v>8</v>
      </c>
      <c r="E14" s="28">
        <v>1</v>
      </c>
      <c r="F14" s="6">
        <f>F10*E14</f>
        <v>104.39999999999999</v>
      </c>
      <c r="G14" s="6"/>
      <c r="H14" s="6">
        <f t="shared" si="7"/>
        <v>0</v>
      </c>
      <c r="I14" s="6"/>
      <c r="J14" s="6"/>
      <c r="K14" s="6"/>
      <c r="L14" s="6"/>
      <c r="M14" s="109">
        <f t="shared" si="5"/>
        <v>0</v>
      </c>
    </row>
    <row r="15" spans="1:13">
      <c r="A15" s="287"/>
      <c r="B15" s="21" t="s">
        <v>216</v>
      </c>
      <c r="C15" s="21"/>
      <c r="D15" s="95" t="s">
        <v>8</v>
      </c>
      <c r="E15" s="28">
        <v>1.1000000000000001</v>
      </c>
      <c r="F15" s="6">
        <f>E15*F10</f>
        <v>114.84</v>
      </c>
      <c r="G15" s="6"/>
      <c r="H15" s="6">
        <f t="shared" si="7"/>
        <v>0</v>
      </c>
      <c r="I15" s="6"/>
      <c r="J15" s="6"/>
      <c r="K15" s="6"/>
      <c r="L15" s="6"/>
      <c r="M15" s="109">
        <f t="shared" si="5"/>
        <v>0</v>
      </c>
    </row>
    <row r="16" spans="1:13">
      <c r="A16" s="288"/>
      <c r="B16" s="21" t="s">
        <v>11</v>
      </c>
      <c r="C16" s="21"/>
      <c r="D16" s="95" t="s">
        <v>12</v>
      </c>
      <c r="E16" s="28">
        <v>0.1</v>
      </c>
      <c r="F16" s="6">
        <f>F10*E16</f>
        <v>10.44</v>
      </c>
      <c r="G16" s="6"/>
      <c r="H16" s="6">
        <f t="shared" si="7"/>
        <v>0</v>
      </c>
      <c r="I16" s="6"/>
      <c r="J16" s="6"/>
      <c r="K16" s="6"/>
      <c r="L16" s="6"/>
      <c r="M16" s="109">
        <f t="shared" si="5"/>
        <v>0</v>
      </c>
    </row>
    <row r="17" spans="1:13">
      <c r="A17" s="7"/>
      <c r="B17" s="122" t="s">
        <v>217</v>
      </c>
      <c r="C17" s="122"/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1:13" ht="27">
      <c r="A18" s="10">
        <v>3</v>
      </c>
      <c r="B18" s="165" t="s">
        <v>218</v>
      </c>
      <c r="C18" s="165"/>
      <c r="D18" s="97" t="s">
        <v>8</v>
      </c>
      <c r="E18" s="97"/>
      <c r="F18" s="6">
        <f>1.5*2.15*17+1.25*2.15*2+0.9*2.15*4</f>
        <v>67.94</v>
      </c>
      <c r="G18" s="6"/>
      <c r="H18" s="6"/>
      <c r="I18" s="6"/>
      <c r="J18" s="6">
        <f>I18*F18</f>
        <v>0</v>
      </c>
      <c r="K18" s="6"/>
      <c r="L18" s="6"/>
      <c r="M18" s="109">
        <f>L18+J18+H18</f>
        <v>0</v>
      </c>
    </row>
    <row r="19" spans="1:13">
      <c r="A19" s="10">
        <v>4</v>
      </c>
      <c r="B19" s="165" t="s">
        <v>219</v>
      </c>
      <c r="C19" s="165"/>
      <c r="D19" s="97" t="s">
        <v>8</v>
      </c>
      <c r="E19" s="97"/>
      <c r="F19" s="6">
        <f>0.9*2.15*16</f>
        <v>30.96</v>
      </c>
      <c r="G19" s="6"/>
      <c r="H19" s="6"/>
      <c r="I19" s="6"/>
      <c r="J19" s="6">
        <f t="shared" ref="J19:J73" si="8">I19*F19</f>
        <v>0</v>
      </c>
      <c r="K19" s="6"/>
      <c r="L19" s="6"/>
      <c r="M19" s="109">
        <f>L19+J19+H19</f>
        <v>0</v>
      </c>
    </row>
    <row r="20" spans="1:13">
      <c r="A20" s="10">
        <v>5</v>
      </c>
      <c r="B20" s="165" t="s">
        <v>220</v>
      </c>
      <c r="C20" s="165"/>
      <c r="D20" s="97" t="s">
        <v>221</v>
      </c>
      <c r="E20" s="97"/>
      <c r="F20" s="6">
        <v>1</v>
      </c>
      <c r="G20" s="6"/>
      <c r="H20" s="6"/>
      <c r="I20" s="6"/>
      <c r="J20" s="6">
        <f t="shared" si="8"/>
        <v>0</v>
      </c>
      <c r="K20" s="6"/>
      <c r="L20" s="6"/>
      <c r="M20" s="109">
        <f>L20+J20+H20</f>
        <v>0</v>
      </c>
    </row>
    <row r="21" spans="1:13">
      <c r="A21" s="10">
        <v>6</v>
      </c>
      <c r="B21" s="165" t="s">
        <v>222</v>
      </c>
      <c r="C21" s="165"/>
      <c r="D21" s="97" t="s">
        <v>138</v>
      </c>
      <c r="E21" s="97"/>
      <c r="F21" s="6">
        <v>1</v>
      </c>
      <c r="G21" s="6"/>
      <c r="H21" s="6"/>
      <c r="I21" s="6"/>
      <c r="J21" s="6">
        <f t="shared" si="8"/>
        <v>0</v>
      </c>
      <c r="K21" s="6"/>
      <c r="L21" s="6"/>
      <c r="M21" s="109">
        <f>L21+J21+H21</f>
        <v>0</v>
      </c>
    </row>
    <row r="22" spans="1:13">
      <c r="A22" s="10">
        <v>7</v>
      </c>
      <c r="B22" s="165" t="s">
        <v>223</v>
      </c>
      <c r="C22" s="165"/>
      <c r="D22" s="97" t="s">
        <v>153</v>
      </c>
      <c r="E22" s="97"/>
      <c r="F22" s="6">
        <v>15</v>
      </c>
      <c r="G22" s="6"/>
      <c r="H22" s="6"/>
      <c r="I22" s="6"/>
      <c r="J22" s="6">
        <f t="shared" si="8"/>
        <v>0</v>
      </c>
      <c r="K22" s="6"/>
      <c r="L22" s="6"/>
      <c r="M22" s="109">
        <f>L22+J22+H22</f>
        <v>0</v>
      </c>
    </row>
    <row r="23" spans="1:13">
      <c r="A23" s="10">
        <v>8</v>
      </c>
      <c r="B23" s="165" t="s">
        <v>152</v>
      </c>
      <c r="C23" s="165"/>
      <c r="D23" s="97" t="s">
        <v>153</v>
      </c>
      <c r="E23" s="97"/>
      <c r="F23" s="6">
        <v>85</v>
      </c>
      <c r="G23" s="6"/>
      <c r="H23" s="6"/>
      <c r="I23" s="6"/>
      <c r="J23" s="6">
        <f t="shared" si="8"/>
        <v>0</v>
      </c>
      <c r="K23" s="6"/>
      <c r="L23" s="6"/>
      <c r="M23" s="109">
        <f t="shared" ref="M23:M86" si="9">L23+J23+H23</f>
        <v>0</v>
      </c>
    </row>
    <row r="24" spans="1:13">
      <c r="A24" s="10">
        <v>9</v>
      </c>
      <c r="B24" s="165" t="s">
        <v>224</v>
      </c>
      <c r="C24" s="165"/>
      <c r="D24" s="97" t="s">
        <v>8</v>
      </c>
      <c r="E24" s="97"/>
      <c r="F24" s="6">
        <v>677</v>
      </c>
      <c r="G24" s="6"/>
      <c r="H24" s="6"/>
      <c r="I24" s="6"/>
      <c r="J24" s="6">
        <f t="shared" si="8"/>
        <v>0</v>
      </c>
      <c r="K24" s="6"/>
      <c r="L24" s="6"/>
      <c r="M24" s="109">
        <f t="shared" si="9"/>
        <v>0</v>
      </c>
    </row>
    <row r="25" spans="1:13">
      <c r="A25" s="10">
        <v>10</v>
      </c>
      <c r="B25" s="165" t="s">
        <v>225</v>
      </c>
      <c r="C25" s="165"/>
      <c r="D25" s="97" t="s">
        <v>8</v>
      </c>
      <c r="E25" s="97"/>
      <c r="F25" s="6">
        <v>43</v>
      </c>
      <c r="G25" s="6"/>
      <c r="H25" s="6"/>
      <c r="I25" s="6"/>
      <c r="J25" s="6">
        <f t="shared" si="8"/>
        <v>0</v>
      </c>
      <c r="K25" s="6"/>
      <c r="L25" s="6"/>
      <c r="M25" s="109">
        <f t="shared" si="9"/>
        <v>0</v>
      </c>
    </row>
    <row r="26" spans="1:13">
      <c r="A26" s="10">
        <v>11</v>
      </c>
      <c r="B26" s="165" t="s">
        <v>226</v>
      </c>
      <c r="C26" s="165"/>
      <c r="D26" s="97" t="s">
        <v>153</v>
      </c>
      <c r="E26" s="97"/>
      <c r="F26" s="6">
        <v>15</v>
      </c>
      <c r="G26" s="6"/>
      <c r="H26" s="6"/>
      <c r="I26" s="6"/>
      <c r="J26" s="6">
        <f t="shared" si="8"/>
        <v>0</v>
      </c>
      <c r="K26" s="6"/>
      <c r="L26" s="6"/>
      <c r="M26" s="109">
        <f t="shared" si="9"/>
        <v>0</v>
      </c>
    </row>
    <row r="27" spans="1:13">
      <c r="A27" s="10">
        <v>12</v>
      </c>
      <c r="B27" s="9" t="s">
        <v>227</v>
      </c>
      <c r="C27" s="9"/>
      <c r="D27" s="7" t="s">
        <v>10</v>
      </c>
      <c r="E27" s="7"/>
      <c r="F27" s="6">
        <v>1500</v>
      </c>
      <c r="G27" s="6"/>
      <c r="H27" s="6"/>
      <c r="I27" s="6"/>
      <c r="J27" s="6">
        <f t="shared" si="8"/>
        <v>0</v>
      </c>
      <c r="K27" s="6"/>
      <c r="L27" s="6"/>
      <c r="M27" s="109">
        <f t="shared" si="9"/>
        <v>0</v>
      </c>
    </row>
    <row r="28" spans="1:13">
      <c r="A28" s="10">
        <v>13</v>
      </c>
      <c r="B28" s="9" t="s">
        <v>228</v>
      </c>
      <c r="C28" s="9"/>
      <c r="D28" s="7" t="s">
        <v>153</v>
      </c>
      <c r="E28" s="7"/>
      <c r="F28" s="6">
        <v>28</v>
      </c>
      <c r="G28" s="6"/>
      <c r="H28" s="6"/>
      <c r="I28" s="6"/>
      <c r="J28" s="6">
        <f t="shared" si="8"/>
        <v>0</v>
      </c>
      <c r="K28" s="6"/>
      <c r="L28" s="6"/>
      <c r="M28" s="109">
        <f t="shared" si="9"/>
        <v>0</v>
      </c>
    </row>
    <row r="29" spans="1:13">
      <c r="A29" s="10">
        <v>14</v>
      </c>
      <c r="B29" s="9" t="s">
        <v>229</v>
      </c>
      <c r="C29" s="9"/>
      <c r="D29" s="7" t="s">
        <v>153</v>
      </c>
      <c r="E29" s="7"/>
      <c r="F29" s="6">
        <v>42</v>
      </c>
      <c r="G29" s="6"/>
      <c r="H29" s="6"/>
      <c r="I29" s="6"/>
      <c r="J29" s="6">
        <f t="shared" si="8"/>
        <v>0</v>
      </c>
      <c r="K29" s="6"/>
      <c r="L29" s="6"/>
      <c r="M29" s="109">
        <f t="shared" si="9"/>
        <v>0</v>
      </c>
    </row>
    <row r="30" spans="1:13">
      <c r="A30" s="10">
        <v>15</v>
      </c>
      <c r="B30" s="9" t="s">
        <v>230</v>
      </c>
      <c r="C30" s="9"/>
      <c r="D30" s="15" t="s">
        <v>138</v>
      </c>
      <c r="E30" s="4"/>
      <c r="F30" s="6">
        <v>16</v>
      </c>
      <c r="G30" s="6"/>
      <c r="H30" s="6"/>
      <c r="I30" s="6"/>
      <c r="J30" s="6">
        <f t="shared" si="8"/>
        <v>0</v>
      </c>
      <c r="K30" s="6"/>
      <c r="L30" s="6"/>
      <c r="M30" s="109">
        <f t="shared" si="9"/>
        <v>0</v>
      </c>
    </row>
    <row r="31" spans="1:13">
      <c r="A31" s="10">
        <v>16</v>
      </c>
      <c r="B31" s="9" t="s">
        <v>231</v>
      </c>
      <c r="C31" s="9"/>
      <c r="D31" s="15" t="s">
        <v>138</v>
      </c>
      <c r="E31" s="4"/>
      <c r="F31" s="6">
        <v>16</v>
      </c>
      <c r="G31" s="6"/>
      <c r="H31" s="6"/>
      <c r="I31" s="6"/>
      <c r="J31" s="6">
        <f t="shared" si="8"/>
        <v>0</v>
      </c>
      <c r="K31" s="6"/>
      <c r="L31" s="6"/>
      <c r="M31" s="109">
        <f t="shared" si="9"/>
        <v>0</v>
      </c>
    </row>
    <row r="32" spans="1:13">
      <c r="A32" s="10">
        <v>17</v>
      </c>
      <c r="B32" s="9" t="s">
        <v>232</v>
      </c>
      <c r="C32" s="9"/>
      <c r="D32" s="15" t="s">
        <v>138</v>
      </c>
      <c r="E32" s="4"/>
      <c r="F32" s="6">
        <v>16</v>
      </c>
      <c r="G32" s="6"/>
      <c r="H32" s="6"/>
      <c r="I32" s="6"/>
      <c r="J32" s="6">
        <f t="shared" si="8"/>
        <v>0</v>
      </c>
      <c r="K32" s="6"/>
      <c r="L32" s="6"/>
      <c r="M32" s="109">
        <f t="shared" si="9"/>
        <v>0</v>
      </c>
    </row>
    <row r="33" spans="1:13">
      <c r="A33" s="10">
        <v>18</v>
      </c>
      <c r="B33" s="9" t="s">
        <v>233</v>
      </c>
      <c r="C33" s="9"/>
      <c r="D33" s="15" t="s">
        <v>138</v>
      </c>
      <c r="E33" s="4"/>
      <c r="F33" s="6">
        <v>16</v>
      </c>
      <c r="G33" s="6"/>
      <c r="H33" s="6"/>
      <c r="I33" s="6"/>
      <c r="J33" s="6">
        <f t="shared" si="8"/>
        <v>0</v>
      </c>
      <c r="K33" s="6"/>
      <c r="L33" s="6"/>
      <c r="M33" s="109">
        <f t="shared" si="9"/>
        <v>0</v>
      </c>
    </row>
    <row r="34" spans="1:13">
      <c r="A34" s="10">
        <v>19</v>
      </c>
      <c r="B34" s="165" t="s">
        <v>234</v>
      </c>
      <c r="C34" s="165"/>
      <c r="D34" s="7" t="s">
        <v>215</v>
      </c>
      <c r="E34" s="7"/>
      <c r="F34" s="6">
        <f>16.5*15</f>
        <v>247.5</v>
      </c>
      <c r="G34" s="6"/>
      <c r="H34" s="6"/>
      <c r="I34" s="6"/>
      <c r="J34" s="6">
        <f t="shared" si="8"/>
        <v>0</v>
      </c>
      <c r="K34" s="6"/>
      <c r="L34" s="6">
        <f>K34*F34</f>
        <v>0</v>
      </c>
      <c r="M34" s="109">
        <f t="shared" si="9"/>
        <v>0</v>
      </c>
    </row>
    <row r="35" spans="1:13">
      <c r="A35" s="10">
        <v>20</v>
      </c>
      <c r="B35" s="165" t="s">
        <v>235</v>
      </c>
      <c r="C35" s="165"/>
      <c r="D35" s="7" t="s">
        <v>10</v>
      </c>
      <c r="E35" s="7"/>
      <c r="F35" s="6">
        <v>38</v>
      </c>
      <c r="G35" s="6"/>
      <c r="H35" s="6"/>
      <c r="I35" s="6"/>
      <c r="J35" s="6">
        <f t="shared" si="8"/>
        <v>0</v>
      </c>
      <c r="K35" s="6"/>
      <c r="L35" s="6"/>
      <c r="M35" s="109">
        <f t="shared" si="9"/>
        <v>0</v>
      </c>
    </row>
    <row r="36" spans="1:13">
      <c r="A36" s="10">
        <v>21</v>
      </c>
      <c r="B36" s="165" t="s">
        <v>236</v>
      </c>
      <c r="C36" s="165"/>
      <c r="D36" s="7" t="s">
        <v>10</v>
      </c>
      <c r="E36" s="7"/>
      <c r="F36" s="6">
        <v>55</v>
      </c>
      <c r="G36" s="6"/>
      <c r="H36" s="6"/>
      <c r="I36" s="6"/>
      <c r="J36" s="6">
        <f t="shared" si="8"/>
        <v>0</v>
      </c>
      <c r="K36" s="6"/>
      <c r="L36" s="6"/>
      <c r="M36" s="109">
        <f t="shared" si="9"/>
        <v>0</v>
      </c>
    </row>
    <row r="37" spans="1:13" ht="27">
      <c r="A37" s="10">
        <v>22</v>
      </c>
      <c r="B37" s="165" t="s">
        <v>237</v>
      </c>
      <c r="C37" s="165"/>
      <c r="D37" s="7" t="s">
        <v>10</v>
      </c>
      <c r="E37" s="7"/>
      <c r="F37" s="6">
        <f>62+25</f>
        <v>87</v>
      </c>
      <c r="G37" s="6"/>
      <c r="H37" s="6"/>
      <c r="I37" s="6"/>
      <c r="J37" s="6">
        <f t="shared" si="8"/>
        <v>0</v>
      </c>
      <c r="K37" s="6"/>
      <c r="L37" s="6">
        <f t="shared" ref="L37:L74" si="10">K37*F37</f>
        <v>0</v>
      </c>
      <c r="M37" s="109">
        <f t="shared" si="9"/>
        <v>0</v>
      </c>
    </row>
    <row r="38" spans="1:13" ht="27">
      <c r="A38" s="10">
        <v>23</v>
      </c>
      <c r="B38" s="69" t="s">
        <v>238</v>
      </c>
      <c r="C38" s="69"/>
      <c r="D38" s="15" t="s">
        <v>8</v>
      </c>
      <c r="E38" s="15"/>
      <c r="F38" s="6">
        <v>410</v>
      </c>
      <c r="G38" s="6"/>
      <c r="H38" s="6"/>
      <c r="I38" s="6"/>
      <c r="J38" s="6">
        <f t="shared" si="8"/>
        <v>0</v>
      </c>
      <c r="K38" s="6"/>
      <c r="L38" s="6">
        <f t="shared" si="10"/>
        <v>0</v>
      </c>
      <c r="M38" s="109">
        <f t="shared" si="9"/>
        <v>0</v>
      </c>
    </row>
    <row r="39" spans="1:13" ht="27">
      <c r="A39" s="10">
        <v>24</v>
      </c>
      <c r="B39" s="9" t="s">
        <v>239</v>
      </c>
      <c r="C39" s="9"/>
      <c r="D39" s="15" t="s">
        <v>8</v>
      </c>
      <c r="E39" s="15"/>
      <c r="F39" s="6">
        <v>84</v>
      </c>
      <c r="G39" s="6"/>
      <c r="H39" s="6"/>
      <c r="I39" s="6"/>
      <c r="J39" s="6">
        <f t="shared" si="8"/>
        <v>0</v>
      </c>
      <c r="K39" s="6"/>
      <c r="L39" s="6">
        <f t="shared" si="10"/>
        <v>0</v>
      </c>
      <c r="M39" s="109">
        <f t="shared" si="9"/>
        <v>0</v>
      </c>
    </row>
    <row r="40" spans="1:13">
      <c r="A40" s="10">
        <v>25</v>
      </c>
      <c r="B40" s="8" t="s">
        <v>240</v>
      </c>
      <c r="C40" s="8"/>
      <c r="D40" s="7" t="s">
        <v>215</v>
      </c>
      <c r="E40" s="7"/>
      <c r="F40" s="6">
        <f>(720-44-18)*1.1</f>
        <v>723.80000000000007</v>
      </c>
      <c r="G40" s="6"/>
      <c r="H40" s="6"/>
      <c r="I40" s="6"/>
      <c r="J40" s="6">
        <f t="shared" si="8"/>
        <v>0</v>
      </c>
      <c r="K40" s="6"/>
      <c r="L40" s="6">
        <f t="shared" si="10"/>
        <v>0</v>
      </c>
      <c r="M40" s="109">
        <f t="shared" si="9"/>
        <v>0</v>
      </c>
    </row>
    <row r="41" spans="1:13">
      <c r="A41" s="10">
        <v>26</v>
      </c>
      <c r="B41" s="8" t="s">
        <v>241</v>
      </c>
      <c r="C41" s="8"/>
      <c r="D41" s="7" t="s">
        <v>215</v>
      </c>
      <c r="E41" s="7"/>
      <c r="F41" s="6">
        <v>44</v>
      </c>
      <c r="G41" s="6"/>
      <c r="H41" s="6"/>
      <c r="I41" s="6"/>
      <c r="J41" s="6">
        <f t="shared" si="8"/>
        <v>0</v>
      </c>
      <c r="K41" s="6"/>
      <c r="L41" s="6">
        <f t="shared" si="10"/>
        <v>0</v>
      </c>
      <c r="M41" s="109">
        <f t="shared" si="9"/>
        <v>0</v>
      </c>
    </row>
    <row r="42" spans="1:13" ht="27">
      <c r="A42" s="10">
        <v>27</v>
      </c>
      <c r="B42" s="69" t="s">
        <v>242</v>
      </c>
      <c r="C42" s="69"/>
      <c r="D42" s="7" t="s">
        <v>215</v>
      </c>
      <c r="E42" s="7"/>
      <c r="F42" s="6">
        <v>720</v>
      </c>
      <c r="G42" s="6"/>
      <c r="H42" s="6"/>
      <c r="I42" s="6"/>
      <c r="J42" s="6">
        <f t="shared" si="8"/>
        <v>0</v>
      </c>
      <c r="K42" s="6"/>
      <c r="L42" s="6">
        <f t="shared" si="10"/>
        <v>0</v>
      </c>
      <c r="M42" s="109">
        <f t="shared" si="9"/>
        <v>0</v>
      </c>
    </row>
    <row r="43" spans="1:13" ht="27">
      <c r="A43" s="10">
        <v>28</v>
      </c>
      <c r="B43" s="69" t="s">
        <v>243</v>
      </c>
      <c r="C43" s="69"/>
      <c r="D43" s="7" t="s">
        <v>244</v>
      </c>
      <c r="E43" s="7"/>
      <c r="F43" s="6">
        <v>59.5</v>
      </c>
      <c r="G43" s="6"/>
      <c r="H43" s="6">
        <f t="shared" ref="H43:H80" si="11">G43*F43</f>
        <v>0</v>
      </c>
      <c r="I43" s="6"/>
      <c r="J43" s="6">
        <f t="shared" si="8"/>
        <v>0</v>
      </c>
      <c r="K43" s="6"/>
      <c r="L43" s="6">
        <f t="shared" si="10"/>
        <v>0</v>
      </c>
      <c r="M43" s="109">
        <f t="shared" si="9"/>
        <v>0</v>
      </c>
    </row>
    <row r="44" spans="1:13" ht="27">
      <c r="A44" s="10">
        <v>29</v>
      </c>
      <c r="B44" s="69" t="s">
        <v>245</v>
      </c>
      <c r="C44" s="69"/>
      <c r="D44" s="7" t="s">
        <v>102</v>
      </c>
      <c r="E44" s="7"/>
      <c r="F44" s="6">
        <f>F43*1.8</f>
        <v>107.10000000000001</v>
      </c>
      <c r="G44" s="6"/>
      <c r="H44" s="6"/>
      <c r="I44" s="6"/>
      <c r="J44" s="6">
        <f t="shared" si="8"/>
        <v>0</v>
      </c>
      <c r="K44" s="6"/>
      <c r="L44" s="6">
        <f t="shared" si="10"/>
        <v>0</v>
      </c>
      <c r="M44" s="109">
        <f t="shared" si="9"/>
        <v>0</v>
      </c>
    </row>
    <row r="45" spans="1:13">
      <c r="A45" s="7"/>
      <c r="B45" s="122" t="s">
        <v>246</v>
      </c>
      <c r="C45" s="122"/>
      <c r="D45" s="4"/>
      <c r="E45" s="4"/>
      <c r="F45" s="6"/>
      <c r="G45" s="6"/>
      <c r="H45" s="6"/>
      <c r="I45" s="6"/>
      <c r="J45" s="6"/>
      <c r="K45" s="6"/>
      <c r="L45" s="6"/>
      <c r="M45" s="109"/>
    </row>
    <row r="46" spans="1:13">
      <c r="A46" s="162"/>
      <c r="B46" s="166" t="s">
        <v>154</v>
      </c>
      <c r="C46" s="166"/>
      <c r="D46" s="4"/>
      <c r="E46" s="4"/>
      <c r="F46" s="6"/>
      <c r="G46" s="6"/>
      <c r="H46" s="6"/>
      <c r="I46" s="6"/>
      <c r="J46" s="6"/>
      <c r="K46" s="6"/>
      <c r="L46" s="6"/>
      <c r="M46" s="109"/>
    </row>
    <row r="47" spans="1:13">
      <c r="A47" s="286">
        <v>30</v>
      </c>
      <c r="B47" s="86" t="s">
        <v>155</v>
      </c>
      <c r="C47" s="86"/>
      <c r="D47" s="112" t="s">
        <v>8</v>
      </c>
      <c r="E47" s="112"/>
      <c r="F47" s="114">
        <v>720</v>
      </c>
      <c r="G47" s="167"/>
      <c r="H47" s="6"/>
      <c r="I47" s="16"/>
      <c r="J47" s="6"/>
      <c r="K47" s="16"/>
      <c r="L47" s="6"/>
      <c r="M47" s="109"/>
    </row>
    <row r="48" spans="1:13">
      <c r="A48" s="287"/>
      <c r="B48" s="9" t="s">
        <v>137</v>
      </c>
      <c r="C48" s="9"/>
      <c r="D48" s="7" t="s">
        <v>215</v>
      </c>
      <c r="E48" s="28">
        <v>1</v>
      </c>
      <c r="F48" s="28">
        <f>F47*E48</f>
        <v>720</v>
      </c>
      <c r="G48" s="16"/>
      <c r="H48" s="6"/>
      <c r="I48" s="16"/>
      <c r="J48" s="6">
        <f t="shared" si="8"/>
        <v>0</v>
      </c>
      <c r="K48" s="16"/>
      <c r="L48" s="6"/>
      <c r="M48" s="109">
        <f t="shared" si="9"/>
        <v>0</v>
      </c>
    </row>
    <row r="49" spans="1:13">
      <c r="A49" s="287"/>
      <c r="B49" s="87" t="s">
        <v>139</v>
      </c>
      <c r="C49" s="87"/>
      <c r="D49" s="15" t="s">
        <v>12</v>
      </c>
      <c r="E49" s="124">
        <v>1.8700000000000001E-2</v>
      </c>
      <c r="F49" s="91">
        <f>E49*F47</f>
        <v>13.464</v>
      </c>
      <c r="G49" s="91"/>
      <c r="H49" s="6"/>
      <c r="I49" s="91"/>
      <c r="J49" s="6"/>
      <c r="K49" s="91"/>
      <c r="L49" s="6">
        <f t="shared" si="10"/>
        <v>0</v>
      </c>
      <c r="M49" s="109">
        <f t="shared" si="9"/>
        <v>0</v>
      </c>
    </row>
    <row r="50" spans="1:13">
      <c r="A50" s="287"/>
      <c r="B50" s="88" t="s">
        <v>156</v>
      </c>
      <c r="C50" s="88"/>
      <c r="D50" s="15" t="s">
        <v>101</v>
      </c>
      <c r="E50" s="125">
        <v>4.9000000000000002E-2</v>
      </c>
      <c r="F50" s="16">
        <f>E50*F47</f>
        <v>35.28</v>
      </c>
      <c r="G50" s="16"/>
      <c r="H50" s="6">
        <f t="shared" si="11"/>
        <v>0</v>
      </c>
      <c r="I50" s="16"/>
      <c r="J50" s="6"/>
      <c r="K50" s="16"/>
      <c r="L50" s="6"/>
      <c r="M50" s="109">
        <f t="shared" si="9"/>
        <v>0</v>
      </c>
    </row>
    <row r="51" spans="1:13">
      <c r="A51" s="287"/>
      <c r="B51" s="88" t="s">
        <v>157</v>
      </c>
      <c r="C51" s="88"/>
      <c r="D51" s="15" t="s">
        <v>102</v>
      </c>
      <c r="E51" s="125">
        <v>1.2999999999999999E-2</v>
      </c>
      <c r="F51" s="16">
        <f>E51*F47</f>
        <v>9.36</v>
      </c>
      <c r="G51" s="16"/>
      <c r="H51" s="6">
        <f t="shared" si="11"/>
        <v>0</v>
      </c>
      <c r="I51" s="16"/>
      <c r="J51" s="6"/>
      <c r="K51" s="16"/>
      <c r="L51" s="6"/>
      <c r="M51" s="109">
        <f t="shared" si="9"/>
        <v>0</v>
      </c>
    </row>
    <row r="52" spans="1:13">
      <c r="A52" s="288"/>
      <c r="B52" s="89" t="s">
        <v>11</v>
      </c>
      <c r="C52" s="89"/>
      <c r="D52" s="15" t="s">
        <v>12</v>
      </c>
      <c r="E52" s="15">
        <v>6.3600000000000004E-2</v>
      </c>
      <c r="F52" s="16">
        <f>F47*E52</f>
        <v>45.792000000000002</v>
      </c>
      <c r="G52" s="16"/>
      <c r="H52" s="6">
        <f t="shared" si="11"/>
        <v>0</v>
      </c>
      <c r="I52" s="16"/>
      <c r="J52" s="6"/>
      <c r="K52" s="16"/>
      <c r="L52" s="6"/>
      <c r="M52" s="109">
        <f t="shared" si="9"/>
        <v>0</v>
      </c>
    </row>
    <row r="53" spans="1:13" ht="27">
      <c r="A53" s="284">
        <v>31</v>
      </c>
      <c r="B53" s="111" t="s">
        <v>247</v>
      </c>
      <c r="C53" s="111"/>
      <c r="D53" s="112" t="s">
        <v>8</v>
      </c>
      <c r="E53" s="112"/>
      <c r="F53" s="114">
        <v>8.35</v>
      </c>
      <c r="G53" s="16"/>
      <c r="H53" s="6"/>
      <c r="I53" s="16"/>
      <c r="J53" s="6"/>
      <c r="K53" s="16"/>
      <c r="L53" s="6"/>
      <c r="M53" s="109"/>
    </row>
    <row r="54" spans="1:13">
      <c r="A54" s="285"/>
      <c r="B54" s="9" t="s">
        <v>137</v>
      </c>
      <c r="C54" s="9"/>
      <c r="D54" s="7" t="s">
        <v>215</v>
      </c>
      <c r="E54" s="28">
        <v>1</v>
      </c>
      <c r="F54" s="28">
        <f>F53*E54</f>
        <v>8.35</v>
      </c>
      <c r="G54" s="16"/>
      <c r="H54" s="6"/>
      <c r="I54" s="6"/>
      <c r="J54" s="6">
        <f t="shared" si="8"/>
        <v>0</v>
      </c>
      <c r="K54" s="6"/>
      <c r="L54" s="6"/>
      <c r="M54" s="109">
        <f t="shared" si="9"/>
        <v>0</v>
      </c>
    </row>
    <row r="55" spans="1:13">
      <c r="A55" s="285"/>
      <c r="B55" s="87" t="s">
        <v>139</v>
      </c>
      <c r="C55" s="87"/>
      <c r="D55" s="15" t="s">
        <v>12</v>
      </c>
      <c r="E55" s="126">
        <v>0.02</v>
      </c>
      <c r="F55" s="91">
        <f>E55*F53</f>
        <v>0.16700000000000001</v>
      </c>
      <c r="G55" s="91"/>
      <c r="H55" s="6"/>
      <c r="I55" s="91"/>
      <c r="J55" s="6"/>
      <c r="K55" s="91"/>
      <c r="L55" s="6">
        <f t="shared" si="10"/>
        <v>0</v>
      </c>
      <c r="M55" s="109">
        <f t="shared" si="9"/>
        <v>0</v>
      </c>
    </row>
    <row r="56" spans="1:13">
      <c r="A56" s="285"/>
      <c r="B56" s="87" t="s">
        <v>158</v>
      </c>
      <c r="C56" s="87"/>
      <c r="D56" s="7" t="s">
        <v>13</v>
      </c>
      <c r="E56" s="91">
        <v>4</v>
      </c>
      <c r="F56" s="91">
        <f>F53*E56</f>
        <v>33.4</v>
      </c>
      <c r="G56" s="91"/>
      <c r="H56" s="6">
        <f t="shared" si="11"/>
        <v>0</v>
      </c>
      <c r="I56" s="91"/>
      <c r="J56" s="6"/>
      <c r="K56" s="91"/>
      <c r="L56" s="6"/>
      <c r="M56" s="109">
        <f t="shared" si="9"/>
        <v>0</v>
      </c>
    </row>
    <row r="57" spans="1:13">
      <c r="A57" s="285"/>
      <c r="B57" s="87" t="s">
        <v>11</v>
      </c>
      <c r="C57" s="87"/>
      <c r="D57" s="15" t="s">
        <v>12</v>
      </c>
      <c r="E57" s="126">
        <v>1.9E-2</v>
      </c>
      <c r="F57" s="91">
        <f>E57*F53</f>
        <v>0.15864999999999999</v>
      </c>
      <c r="G57" s="16"/>
      <c r="H57" s="6">
        <f t="shared" si="11"/>
        <v>0</v>
      </c>
      <c r="I57" s="91"/>
      <c r="J57" s="6"/>
      <c r="K57" s="91"/>
      <c r="L57" s="6"/>
      <c r="M57" s="109">
        <f t="shared" si="9"/>
        <v>0</v>
      </c>
    </row>
    <row r="58" spans="1:13">
      <c r="A58" s="278">
        <v>32</v>
      </c>
      <c r="B58" s="111" t="s">
        <v>248</v>
      </c>
      <c r="C58" s="111"/>
      <c r="D58" s="112" t="s">
        <v>8</v>
      </c>
      <c r="E58" s="112"/>
      <c r="F58" s="114">
        <v>8.35</v>
      </c>
      <c r="G58" s="168"/>
      <c r="H58" s="6"/>
      <c r="I58" s="16"/>
      <c r="J58" s="6"/>
      <c r="K58" s="16"/>
      <c r="L58" s="6"/>
      <c r="M58" s="109"/>
    </row>
    <row r="59" spans="1:13">
      <c r="A59" s="279"/>
      <c r="B59" s="9" t="s">
        <v>137</v>
      </c>
      <c r="C59" s="9"/>
      <c r="D59" s="7" t="s">
        <v>215</v>
      </c>
      <c r="E59" s="28">
        <v>1</v>
      </c>
      <c r="F59" s="28">
        <f>F58*E59</f>
        <v>8.35</v>
      </c>
      <c r="G59" s="16"/>
      <c r="H59" s="6"/>
      <c r="I59" s="16"/>
      <c r="J59" s="6">
        <f t="shared" si="8"/>
        <v>0</v>
      </c>
      <c r="K59" s="6"/>
      <c r="L59" s="6"/>
      <c r="M59" s="109">
        <f t="shared" si="9"/>
        <v>0</v>
      </c>
    </row>
    <row r="60" spans="1:13">
      <c r="A60" s="279"/>
      <c r="B60" s="89" t="s">
        <v>139</v>
      </c>
      <c r="C60" s="87"/>
      <c r="D60" s="15" t="s">
        <v>12</v>
      </c>
      <c r="E60" s="126">
        <v>4.5199999999999997E-2</v>
      </c>
      <c r="F60" s="91">
        <f>E60*F58</f>
        <v>0.37741999999999998</v>
      </c>
      <c r="G60" s="91"/>
      <c r="H60" s="6"/>
      <c r="I60" s="91"/>
      <c r="J60" s="6"/>
      <c r="K60" s="91"/>
      <c r="L60" s="6">
        <f t="shared" si="10"/>
        <v>0</v>
      </c>
      <c r="M60" s="109">
        <f t="shared" si="9"/>
        <v>0</v>
      </c>
    </row>
    <row r="61" spans="1:13">
      <c r="A61" s="304"/>
      <c r="B61" s="127" t="s">
        <v>249</v>
      </c>
      <c r="C61" s="127"/>
      <c r="D61" s="97" t="s">
        <v>8</v>
      </c>
      <c r="E61" s="97">
        <v>1.05</v>
      </c>
      <c r="F61" s="16">
        <f>E61*F58</f>
        <v>8.7675000000000001</v>
      </c>
      <c r="G61" s="16"/>
      <c r="H61" s="6">
        <f t="shared" si="11"/>
        <v>0</v>
      </c>
      <c r="I61" s="16"/>
      <c r="J61" s="6"/>
      <c r="K61" s="16"/>
      <c r="L61" s="6"/>
      <c r="M61" s="109">
        <f t="shared" si="9"/>
        <v>0</v>
      </c>
    </row>
    <row r="62" spans="1:13">
      <c r="A62" s="304"/>
      <c r="B62" s="127" t="s">
        <v>159</v>
      </c>
      <c r="C62" s="127"/>
      <c r="D62" s="97" t="s">
        <v>13</v>
      </c>
      <c r="E62" s="109">
        <v>7</v>
      </c>
      <c r="F62" s="16">
        <f>E62*F58</f>
        <v>58.449999999999996</v>
      </c>
      <c r="G62" s="16"/>
      <c r="H62" s="6">
        <f t="shared" si="11"/>
        <v>0</v>
      </c>
      <c r="I62" s="16"/>
      <c r="J62" s="6"/>
      <c r="K62" s="16"/>
      <c r="L62" s="6"/>
      <c r="M62" s="109">
        <f t="shared" si="9"/>
        <v>0</v>
      </c>
    </row>
    <row r="63" spans="1:13">
      <c r="A63" s="304"/>
      <c r="B63" s="30" t="s">
        <v>160</v>
      </c>
      <c r="C63" s="30"/>
      <c r="D63" s="95" t="s">
        <v>9</v>
      </c>
      <c r="E63" s="95">
        <v>0.1</v>
      </c>
      <c r="F63" s="28">
        <f>E63*F58</f>
        <v>0.83499999999999996</v>
      </c>
      <c r="G63" s="28"/>
      <c r="H63" s="6">
        <f t="shared" si="11"/>
        <v>0</v>
      </c>
      <c r="I63" s="28"/>
      <c r="J63" s="6"/>
      <c r="K63" s="28"/>
      <c r="L63" s="6"/>
      <c r="M63" s="109">
        <f t="shared" si="9"/>
        <v>0</v>
      </c>
    </row>
    <row r="64" spans="1:13">
      <c r="A64" s="304"/>
      <c r="B64" s="127" t="s">
        <v>161</v>
      </c>
      <c r="C64" s="127"/>
      <c r="D64" s="97" t="s">
        <v>13</v>
      </c>
      <c r="E64" s="97">
        <v>0.04</v>
      </c>
      <c r="F64" s="16">
        <f>E64*F58</f>
        <v>0.33400000000000002</v>
      </c>
      <c r="G64" s="16"/>
      <c r="H64" s="6">
        <f t="shared" si="11"/>
        <v>0</v>
      </c>
      <c r="I64" s="16"/>
      <c r="J64" s="6"/>
      <c r="K64" s="16"/>
      <c r="L64" s="6"/>
      <c r="M64" s="109">
        <f t="shared" si="9"/>
        <v>0</v>
      </c>
    </row>
    <row r="65" spans="1:13">
      <c r="A65" s="305"/>
      <c r="B65" s="127" t="s">
        <v>11</v>
      </c>
      <c r="C65" s="127"/>
      <c r="D65" s="97" t="s">
        <v>12</v>
      </c>
      <c r="E65" s="97">
        <v>4.6600000000000003E-2</v>
      </c>
      <c r="F65" s="16">
        <f>E65*F58</f>
        <v>0.38911000000000001</v>
      </c>
      <c r="G65" s="16"/>
      <c r="H65" s="6">
        <f t="shared" si="11"/>
        <v>0</v>
      </c>
      <c r="I65" s="16"/>
      <c r="J65" s="6"/>
      <c r="K65" s="16"/>
      <c r="L65" s="6"/>
      <c r="M65" s="109">
        <f t="shared" si="9"/>
        <v>0</v>
      </c>
    </row>
    <row r="66" spans="1:13">
      <c r="A66" s="306">
        <v>33</v>
      </c>
      <c r="B66" s="93" t="s">
        <v>162</v>
      </c>
      <c r="C66" s="93"/>
      <c r="D66" s="112" t="s">
        <v>8</v>
      </c>
      <c r="E66" s="112"/>
      <c r="F66" s="114">
        <v>700</v>
      </c>
      <c r="G66" s="168"/>
      <c r="H66" s="6"/>
      <c r="I66" s="28"/>
      <c r="J66" s="6"/>
      <c r="K66" s="28"/>
      <c r="L66" s="6"/>
      <c r="M66" s="109"/>
    </row>
    <row r="67" spans="1:13">
      <c r="A67" s="307"/>
      <c r="B67" s="9" t="s">
        <v>137</v>
      </c>
      <c r="C67" s="9"/>
      <c r="D67" s="7" t="s">
        <v>215</v>
      </c>
      <c r="E67" s="28">
        <v>1</v>
      </c>
      <c r="F67" s="28">
        <f>F66*E67</f>
        <v>700</v>
      </c>
      <c r="G67" s="16"/>
      <c r="H67" s="6"/>
      <c r="I67" s="16"/>
      <c r="J67" s="6">
        <f t="shared" si="8"/>
        <v>0</v>
      </c>
      <c r="K67" s="6"/>
      <c r="L67" s="6"/>
      <c r="M67" s="109">
        <f t="shared" si="9"/>
        <v>0</v>
      </c>
    </row>
    <row r="68" spans="1:13">
      <c r="A68" s="307"/>
      <c r="B68" s="89" t="s">
        <v>139</v>
      </c>
      <c r="C68" s="87"/>
      <c r="D68" s="15" t="s">
        <v>12</v>
      </c>
      <c r="E68" s="124">
        <v>1.0200000000000001E-2</v>
      </c>
      <c r="F68" s="91">
        <f>E68*F66</f>
        <v>7.1400000000000006</v>
      </c>
      <c r="G68" s="91"/>
      <c r="H68" s="6"/>
      <c r="I68" s="91"/>
      <c r="J68" s="6"/>
      <c r="K68" s="91"/>
      <c r="L68" s="6">
        <f t="shared" si="10"/>
        <v>0</v>
      </c>
      <c r="M68" s="109">
        <f t="shared" si="9"/>
        <v>0</v>
      </c>
    </row>
    <row r="69" spans="1:13" ht="84.65" customHeight="1">
      <c r="A69" s="308"/>
      <c r="B69" s="72" t="s">
        <v>306</v>
      </c>
      <c r="C69" s="29"/>
      <c r="D69" s="95" t="s">
        <v>13</v>
      </c>
      <c r="E69" s="28">
        <v>6</v>
      </c>
      <c r="F69" s="28">
        <f>E69*F66</f>
        <v>4200</v>
      </c>
      <c r="G69" s="28"/>
      <c r="H69" s="6">
        <f t="shared" si="11"/>
        <v>0</v>
      </c>
      <c r="I69" s="28"/>
      <c r="J69" s="6"/>
      <c r="K69" s="28"/>
      <c r="L69" s="6"/>
      <c r="M69" s="109">
        <f t="shared" si="9"/>
        <v>0</v>
      </c>
    </row>
    <row r="70" spans="1:13">
      <c r="A70" s="308"/>
      <c r="B70" s="30" t="s">
        <v>104</v>
      </c>
      <c r="C70" s="30"/>
      <c r="D70" s="95" t="s">
        <v>13</v>
      </c>
      <c r="E70" s="28">
        <v>0.18</v>
      </c>
      <c r="F70" s="28">
        <f>E70*F66</f>
        <v>126</v>
      </c>
      <c r="G70" s="28"/>
      <c r="H70" s="6">
        <f t="shared" si="11"/>
        <v>0</v>
      </c>
      <c r="I70" s="28"/>
      <c r="J70" s="6"/>
      <c r="K70" s="28"/>
      <c r="L70" s="6"/>
      <c r="M70" s="109">
        <f t="shared" si="9"/>
        <v>0</v>
      </c>
    </row>
    <row r="71" spans="1:13">
      <c r="A71" s="309"/>
      <c r="B71" s="96" t="s">
        <v>11</v>
      </c>
      <c r="C71" s="96"/>
      <c r="D71" s="95" t="s">
        <v>12</v>
      </c>
      <c r="E71" s="115">
        <v>6.4000000000000001E-2</v>
      </c>
      <c r="F71" s="28">
        <f>E71*F66</f>
        <v>44.800000000000004</v>
      </c>
      <c r="G71" s="28"/>
      <c r="H71" s="6">
        <f t="shared" si="11"/>
        <v>0</v>
      </c>
      <c r="I71" s="28"/>
      <c r="J71" s="6"/>
      <c r="K71" s="28"/>
      <c r="L71" s="6"/>
      <c r="M71" s="109">
        <f t="shared" si="9"/>
        <v>0</v>
      </c>
    </row>
    <row r="72" spans="1:13" ht="27">
      <c r="A72" s="306">
        <v>34</v>
      </c>
      <c r="B72" s="86" t="s">
        <v>250</v>
      </c>
      <c r="C72" s="86"/>
      <c r="D72" s="112" t="s">
        <v>8</v>
      </c>
      <c r="E72" s="112"/>
      <c r="F72" s="114">
        <f>F66*1.15</f>
        <v>804.99999999999989</v>
      </c>
      <c r="G72" s="168"/>
      <c r="H72" s="6"/>
      <c r="I72" s="16"/>
      <c r="J72" s="6"/>
      <c r="K72" s="16"/>
      <c r="L72" s="6"/>
      <c r="M72" s="109"/>
    </row>
    <row r="73" spans="1:13">
      <c r="A73" s="307"/>
      <c r="B73" s="9" t="s">
        <v>137</v>
      </c>
      <c r="C73" s="9"/>
      <c r="D73" s="7" t="s">
        <v>215</v>
      </c>
      <c r="E73" s="28">
        <v>1</v>
      </c>
      <c r="F73" s="28">
        <f>F72*E73</f>
        <v>804.99999999999989</v>
      </c>
      <c r="G73" s="16"/>
      <c r="H73" s="6"/>
      <c r="I73" s="16"/>
      <c r="J73" s="6">
        <f t="shared" si="8"/>
        <v>0</v>
      </c>
      <c r="K73" s="6"/>
      <c r="L73" s="6">
        <f t="shared" si="10"/>
        <v>0</v>
      </c>
      <c r="M73" s="109">
        <f t="shared" si="9"/>
        <v>0</v>
      </c>
    </row>
    <row r="74" spans="1:13">
      <c r="A74" s="307"/>
      <c r="B74" s="89" t="s">
        <v>139</v>
      </c>
      <c r="C74" s="87"/>
      <c r="D74" s="15" t="s">
        <v>12</v>
      </c>
      <c r="E74" s="124">
        <v>7.4999999999999997E-3</v>
      </c>
      <c r="F74" s="91">
        <f>E74*F72</f>
        <v>6.0374999999999988</v>
      </c>
      <c r="G74" s="91"/>
      <c r="H74" s="6"/>
      <c r="I74" s="91"/>
      <c r="J74" s="6"/>
      <c r="K74" s="91"/>
      <c r="L74" s="6">
        <f t="shared" si="10"/>
        <v>0</v>
      </c>
      <c r="M74" s="109">
        <f t="shared" si="9"/>
        <v>0</v>
      </c>
    </row>
    <row r="75" spans="1:13" ht="122.4" customHeight="1">
      <c r="A75" s="308"/>
      <c r="B75" s="204" t="s">
        <v>312</v>
      </c>
      <c r="C75" s="88"/>
      <c r="D75" s="97" t="s">
        <v>8</v>
      </c>
      <c r="E75" s="16">
        <v>1.02</v>
      </c>
      <c r="F75" s="16">
        <f>F72*E75</f>
        <v>821.09999999999991</v>
      </c>
      <c r="G75" s="16"/>
      <c r="H75" s="6">
        <f t="shared" si="11"/>
        <v>0</v>
      </c>
      <c r="I75" s="16"/>
      <c r="J75" s="6"/>
      <c r="K75" s="16"/>
      <c r="L75" s="6"/>
      <c r="M75" s="109">
        <f t="shared" si="9"/>
        <v>0</v>
      </c>
    </row>
    <row r="76" spans="1:13">
      <c r="A76" s="308"/>
      <c r="B76" s="98" t="s">
        <v>105</v>
      </c>
      <c r="C76" s="98"/>
      <c r="D76" s="95" t="s">
        <v>10</v>
      </c>
      <c r="E76" s="28">
        <v>2</v>
      </c>
      <c r="F76" s="28">
        <f>E76*F72</f>
        <v>1609.9999999999998</v>
      </c>
      <c r="G76" s="28"/>
      <c r="H76" s="6">
        <f t="shared" si="11"/>
        <v>0</v>
      </c>
      <c r="I76" s="28"/>
      <c r="J76" s="6"/>
      <c r="K76" s="28"/>
      <c r="L76" s="6"/>
      <c r="M76" s="109">
        <f t="shared" si="9"/>
        <v>0</v>
      </c>
    </row>
    <row r="77" spans="1:13">
      <c r="A77" s="308"/>
      <c r="B77" s="30" t="s">
        <v>106</v>
      </c>
      <c r="C77" s="30"/>
      <c r="D77" s="95" t="s">
        <v>13</v>
      </c>
      <c r="E77" s="28">
        <v>0.4</v>
      </c>
      <c r="F77" s="28">
        <f>E77*F72</f>
        <v>322</v>
      </c>
      <c r="G77" s="28"/>
      <c r="H77" s="6">
        <f t="shared" si="11"/>
        <v>0</v>
      </c>
      <c r="I77" s="28"/>
      <c r="J77" s="6"/>
      <c r="K77" s="28"/>
      <c r="L77" s="6"/>
      <c r="M77" s="109">
        <f t="shared" si="9"/>
        <v>0</v>
      </c>
    </row>
    <row r="78" spans="1:13" ht="85.25" customHeight="1">
      <c r="A78" s="308"/>
      <c r="B78" s="95" t="s">
        <v>107</v>
      </c>
      <c r="C78" s="30"/>
      <c r="D78" s="95" t="s">
        <v>13</v>
      </c>
      <c r="E78" s="28">
        <v>0.1</v>
      </c>
      <c r="F78" s="28">
        <f>E78*F72</f>
        <v>80.5</v>
      </c>
      <c r="G78" s="28"/>
      <c r="H78" s="6">
        <f t="shared" si="11"/>
        <v>0</v>
      </c>
      <c r="I78" s="28"/>
      <c r="J78" s="6"/>
      <c r="K78" s="28"/>
      <c r="L78" s="6"/>
      <c r="M78" s="109">
        <f t="shared" si="9"/>
        <v>0</v>
      </c>
    </row>
    <row r="79" spans="1:13">
      <c r="A79" s="308"/>
      <c r="B79" s="30" t="s">
        <v>108</v>
      </c>
      <c r="C79" s="30"/>
      <c r="D79" s="95" t="s">
        <v>13</v>
      </c>
      <c r="E79" s="28">
        <v>0.35</v>
      </c>
      <c r="F79" s="28">
        <f>E79*F72</f>
        <v>281.74999999999994</v>
      </c>
      <c r="G79" s="28"/>
      <c r="H79" s="6">
        <f t="shared" si="11"/>
        <v>0</v>
      </c>
      <c r="I79" s="28"/>
      <c r="J79" s="6"/>
      <c r="K79" s="28"/>
      <c r="L79" s="6"/>
      <c r="M79" s="109">
        <f t="shared" si="9"/>
        <v>0</v>
      </c>
    </row>
    <row r="80" spans="1:13" ht="24" customHeight="1">
      <c r="A80" s="309"/>
      <c r="B80" s="96" t="s">
        <v>11</v>
      </c>
      <c r="C80" s="96"/>
      <c r="D80" s="95" t="s">
        <v>12</v>
      </c>
      <c r="E80" s="28">
        <v>0.18</v>
      </c>
      <c r="F80" s="28">
        <f>E80*F72</f>
        <v>144.89999999999998</v>
      </c>
      <c r="G80" s="28"/>
      <c r="H80" s="6">
        <f t="shared" si="11"/>
        <v>0</v>
      </c>
      <c r="I80" s="28"/>
      <c r="J80" s="6"/>
      <c r="K80" s="28"/>
      <c r="L80" s="6"/>
      <c r="M80" s="109">
        <f t="shared" si="9"/>
        <v>0</v>
      </c>
    </row>
    <row r="81" spans="1:13">
      <c r="A81" s="169"/>
      <c r="B81" s="170" t="s">
        <v>163</v>
      </c>
      <c r="C81" s="170"/>
      <c r="D81" s="15"/>
      <c r="E81" s="15"/>
      <c r="F81" s="16"/>
      <c r="G81" s="16"/>
      <c r="H81" s="6"/>
      <c r="I81" s="16"/>
      <c r="J81" s="6"/>
      <c r="K81" s="16"/>
      <c r="L81" s="6"/>
      <c r="M81" s="109"/>
    </row>
    <row r="82" spans="1:13" ht="38.5">
      <c r="A82" s="286">
        <v>35</v>
      </c>
      <c r="B82" s="93" t="s">
        <v>251</v>
      </c>
      <c r="C82" s="93"/>
      <c r="D82" s="112" t="s">
        <v>8</v>
      </c>
      <c r="E82" s="112"/>
      <c r="F82" s="128">
        <v>28</v>
      </c>
      <c r="G82" s="6"/>
      <c r="H82" s="6"/>
      <c r="I82" s="6"/>
      <c r="J82" s="6"/>
      <c r="K82" s="6"/>
      <c r="L82" s="6"/>
      <c r="M82" s="109"/>
    </row>
    <row r="83" spans="1:13">
      <c r="A83" s="287"/>
      <c r="B83" s="9" t="s">
        <v>137</v>
      </c>
      <c r="C83" s="9"/>
      <c r="D83" s="7" t="s">
        <v>215</v>
      </c>
      <c r="E83" s="28">
        <v>1</v>
      </c>
      <c r="F83" s="28">
        <f>F82*E83</f>
        <v>28</v>
      </c>
      <c r="G83" s="16"/>
      <c r="H83" s="6"/>
      <c r="I83" s="6"/>
      <c r="J83" s="6">
        <f t="shared" ref="J83:J140" si="12">I83*F83</f>
        <v>0</v>
      </c>
      <c r="K83" s="6"/>
      <c r="L83" s="6"/>
      <c r="M83" s="109">
        <f t="shared" si="9"/>
        <v>0</v>
      </c>
    </row>
    <row r="84" spans="1:13">
      <c r="A84" s="287"/>
      <c r="B84" s="89" t="s">
        <v>139</v>
      </c>
      <c r="C84" s="87"/>
      <c r="D84" s="15" t="s">
        <v>12</v>
      </c>
      <c r="E84" s="126">
        <v>5.5E-2</v>
      </c>
      <c r="F84" s="91">
        <f>F82*E84</f>
        <v>1.54</v>
      </c>
      <c r="G84" s="91"/>
      <c r="H84" s="6"/>
      <c r="I84" s="91"/>
      <c r="J84" s="6"/>
      <c r="K84" s="91"/>
      <c r="L84" s="6">
        <f t="shared" ref="L84:L141" si="13">K84*F84</f>
        <v>0</v>
      </c>
      <c r="M84" s="109">
        <f t="shared" si="9"/>
        <v>0</v>
      </c>
    </row>
    <row r="85" spans="1:13">
      <c r="A85" s="287"/>
      <c r="B85" s="63" t="s">
        <v>164</v>
      </c>
      <c r="C85" s="63"/>
      <c r="D85" s="97" t="s">
        <v>8</v>
      </c>
      <c r="E85" s="97">
        <v>1.05</v>
      </c>
      <c r="F85" s="6">
        <f>F82*E85</f>
        <v>29.400000000000002</v>
      </c>
      <c r="G85" s="6"/>
      <c r="H85" s="6">
        <f t="shared" ref="H85:H148" si="14">G85*F85</f>
        <v>0</v>
      </c>
      <c r="I85" s="6"/>
      <c r="J85" s="6"/>
      <c r="K85" s="6"/>
      <c r="L85" s="6"/>
      <c r="M85" s="109">
        <f t="shared" si="9"/>
        <v>0</v>
      </c>
    </row>
    <row r="86" spans="1:13">
      <c r="A86" s="287"/>
      <c r="B86" s="63" t="s">
        <v>165</v>
      </c>
      <c r="C86" s="63"/>
      <c r="D86" s="97" t="s">
        <v>8</v>
      </c>
      <c r="E86" s="97">
        <v>1.05</v>
      </c>
      <c r="F86" s="6">
        <f>F82*E86</f>
        <v>29.400000000000002</v>
      </c>
      <c r="G86" s="6"/>
      <c r="H86" s="6">
        <f t="shared" si="14"/>
        <v>0</v>
      </c>
      <c r="I86" s="6"/>
      <c r="J86" s="6"/>
      <c r="K86" s="6"/>
      <c r="L86" s="6"/>
      <c r="M86" s="109">
        <f t="shared" si="9"/>
        <v>0</v>
      </c>
    </row>
    <row r="87" spans="1:13" ht="115.75" customHeight="1">
      <c r="A87" s="287"/>
      <c r="B87" s="9" t="s">
        <v>166</v>
      </c>
      <c r="C87" s="9"/>
      <c r="D87" s="95" t="s">
        <v>8</v>
      </c>
      <c r="E87" s="28">
        <v>1</v>
      </c>
      <c r="F87" s="6">
        <f>F82*E87</f>
        <v>28</v>
      </c>
      <c r="G87" s="6"/>
      <c r="H87" s="6">
        <f t="shared" si="14"/>
        <v>0</v>
      </c>
      <c r="I87" s="6"/>
      <c r="J87" s="6"/>
      <c r="K87" s="6"/>
      <c r="L87" s="6"/>
      <c r="M87" s="109">
        <f t="shared" ref="M87:M123" si="15">L87+J87+H87</f>
        <v>0</v>
      </c>
    </row>
    <row r="88" spans="1:13" ht="99.65" customHeight="1">
      <c r="A88" s="287"/>
      <c r="B88" s="72" t="s">
        <v>82</v>
      </c>
      <c r="C88" s="21"/>
      <c r="D88" s="95" t="s">
        <v>8</v>
      </c>
      <c r="E88" s="28">
        <v>1.05</v>
      </c>
      <c r="F88" s="6">
        <f>F82*E88</f>
        <v>29.400000000000002</v>
      </c>
      <c r="G88" s="6"/>
      <c r="H88" s="6">
        <f t="shared" si="14"/>
        <v>0</v>
      </c>
      <c r="I88" s="6"/>
      <c r="J88" s="6"/>
      <c r="K88" s="6"/>
      <c r="L88" s="6"/>
      <c r="M88" s="109">
        <f t="shared" si="15"/>
        <v>0</v>
      </c>
    </row>
    <row r="89" spans="1:13">
      <c r="A89" s="288"/>
      <c r="B89" s="21" t="s">
        <v>11</v>
      </c>
      <c r="C89" s="21"/>
      <c r="D89" s="95" t="s">
        <v>12</v>
      </c>
      <c r="E89" s="95">
        <v>0.1</v>
      </c>
      <c r="F89" s="6">
        <f>F82*E89</f>
        <v>2.8000000000000003</v>
      </c>
      <c r="G89" s="6"/>
      <c r="H89" s="6">
        <f t="shared" si="14"/>
        <v>0</v>
      </c>
      <c r="I89" s="6"/>
      <c r="J89" s="6"/>
      <c r="K89" s="6"/>
      <c r="L89" s="6"/>
      <c r="M89" s="109">
        <f t="shared" si="15"/>
        <v>0</v>
      </c>
    </row>
    <row r="90" spans="1:13" ht="27">
      <c r="A90" s="286">
        <v>36</v>
      </c>
      <c r="B90" s="100" t="s">
        <v>252</v>
      </c>
      <c r="C90" s="100"/>
      <c r="D90" s="112" t="s">
        <v>8</v>
      </c>
      <c r="E90" s="112"/>
      <c r="F90" s="128">
        <v>255.2</v>
      </c>
      <c r="G90" s="6"/>
      <c r="H90" s="6"/>
      <c r="I90" s="6"/>
      <c r="J90" s="6"/>
      <c r="K90" s="6"/>
      <c r="L90" s="6"/>
      <c r="M90" s="109"/>
    </row>
    <row r="91" spans="1:13">
      <c r="A91" s="287"/>
      <c r="B91" s="9" t="s">
        <v>137</v>
      </c>
      <c r="C91" s="9"/>
      <c r="D91" s="7" t="s">
        <v>215</v>
      </c>
      <c r="E91" s="28">
        <v>1</v>
      </c>
      <c r="F91" s="28">
        <f>F90*E91</f>
        <v>255.2</v>
      </c>
      <c r="G91" s="16"/>
      <c r="H91" s="6"/>
      <c r="I91" s="6"/>
      <c r="J91" s="6">
        <f t="shared" si="12"/>
        <v>0</v>
      </c>
      <c r="K91" s="6"/>
      <c r="L91" s="6"/>
      <c r="M91" s="109">
        <f t="shared" si="15"/>
        <v>0</v>
      </c>
    </row>
    <row r="92" spans="1:13">
      <c r="A92" s="287"/>
      <c r="B92" s="89" t="s">
        <v>139</v>
      </c>
      <c r="C92" s="87"/>
      <c r="D92" s="15" t="s">
        <v>12</v>
      </c>
      <c r="E92" s="126">
        <v>5.5E-2</v>
      </c>
      <c r="F92" s="91">
        <f>E92*F90</f>
        <v>14.036</v>
      </c>
      <c r="G92" s="91"/>
      <c r="H92" s="6"/>
      <c r="I92" s="91"/>
      <c r="J92" s="6"/>
      <c r="K92" s="91"/>
      <c r="L92" s="6">
        <f t="shared" si="13"/>
        <v>0</v>
      </c>
      <c r="M92" s="109">
        <f t="shared" si="15"/>
        <v>0</v>
      </c>
    </row>
    <row r="93" spans="1:13">
      <c r="A93" s="287"/>
      <c r="B93" s="63" t="s">
        <v>113</v>
      </c>
      <c r="C93" s="63"/>
      <c r="D93" s="97" t="s">
        <v>8</v>
      </c>
      <c r="E93" s="97">
        <v>2.1</v>
      </c>
      <c r="F93" s="6">
        <f>E93*F90</f>
        <v>535.91999999999996</v>
      </c>
      <c r="G93" s="6"/>
      <c r="H93" s="6">
        <f t="shared" si="14"/>
        <v>0</v>
      </c>
      <c r="I93" s="6"/>
      <c r="J93" s="6"/>
      <c r="K93" s="6"/>
      <c r="L93" s="6"/>
      <c r="M93" s="109">
        <f t="shared" si="15"/>
        <v>0</v>
      </c>
    </row>
    <row r="94" spans="1:13" ht="117" customHeight="1">
      <c r="A94" s="287"/>
      <c r="B94" s="9" t="s">
        <v>166</v>
      </c>
      <c r="C94" s="9"/>
      <c r="D94" s="95" t="s">
        <v>8</v>
      </c>
      <c r="E94" s="28">
        <v>1</v>
      </c>
      <c r="F94" s="6">
        <f>F90*E94</f>
        <v>255.2</v>
      </c>
      <c r="G94" s="6"/>
      <c r="H94" s="6">
        <f t="shared" si="14"/>
        <v>0</v>
      </c>
      <c r="I94" s="6"/>
      <c r="J94" s="6"/>
      <c r="K94" s="6"/>
      <c r="L94" s="6"/>
      <c r="M94" s="109">
        <f t="shared" si="15"/>
        <v>0</v>
      </c>
    </row>
    <row r="95" spans="1:13" ht="85.75" customHeight="1">
      <c r="A95" s="287"/>
      <c r="B95" s="72" t="s">
        <v>82</v>
      </c>
      <c r="C95" s="21"/>
      <c r="D95" s="95" t="s">
        <v>8</v>
      </c>
      <c r="E95" s="28">
        <v>1.05</v>
      </c>
      <c r="F95" s="6">
        <f>E95*F90</f>
        <v>267.95999999999998</v>
      </c>
      <c r="G95" s="6"/>
      <c r="H95" s="6">
        <f t="shared" si="14"/>
        <v>0</v>
      </c>
      <c r="I95" s="6"/>
      <c r="J95" s="6"/>
      <c r="K95" s="6"/>
      <c r="L95" s="6"/>
      <c r="M95" s="109">
        <f t="shared" si="15"/>
        <v>0</v>
      </c>
    </row>
    <row r="96" spans="1:13">
      <c r="A96" s="288"/>
      <c r="B96" s="21" t="s">
        <v>11</v>
      </c>
      <c r="C96" s="21"/>
      <c r="D96" s="95" t="s">
        <v>12</v>
      </c>
      <c r="E96" s="28">
        <v>0.1</v>
      </c>
      <c r="F96" s="6">
        <f>F90*E96</f>
        <v>25.52</v>
      </c>
      <c r="G96" s="6"/>
      <c r="H96" s="6">
        <f t="shared" si="14"/>
        <v>0</v>
      </c>
      <c r="I96" s="6"/>
      <c r="J96" s="6"/>
      <c r="K96" s="6"/>
      <c r="L96" s="6"/>
      <c r="M96" s="109">
        <f t="shared" si="15"/>
        <v>0</v>
      </c>
    </row>
    <row r="97" spans="1:13">
      <c r="A97" s="286">
        <v>37</v>
      </c>
      <c r="B97" s="100" t="s">
        <v>253</v>
      </c>
      <c r="C97" s="100"/>
      <c r="D97" s="112" t="s">
        <v>8</v>
      </c>
      <c r="E97" s="112"/>
      <c r="F97" s="128">
        <v>88</v>
      </c>
      <c r="G97" s="6"/>
      <c r="H97" s="6"/>
      <c r="I97" s="6"/>
      <c r="J97" s="6"/>
      <c r="K97" s="6"/>
      <c r="L97" s="6"/>
      <c r="M97" s="109"/>
    </row>
    <row r="98" spans="1:13">
      <c r="A98" s="287"/>
      <c r="B98" s="9" t="s">
        <v>137</v>
      </c>
      <c r="C98" s="9"/>
      <c r="D98" s="7" t="s">
        <v>215</v>
      </c>
      <c r="E98" s="28">
        <v>1</v>
      </c>
      <c r="F98" s="28">
        <f>F97*E98</f>
        <v>88</v>
      </c>
      <c r="G98" s="16"/>
      <c r="H98" s="6"/>
      <c r="I98" s="6"/>
      <c r="J98" s="6">
        <f t="shared" si="12"/>
        <v>0</v>
      </c>
      <c r="K98" s="6"/>
      <c r="L98" s="6"/>
      <c r="M98" s="109">
        <f t="shared" si="15"/>
        <v>0</v>
      </c>
    </row>
    <row r="99" spans="1:13">
      <c r="A99" s="287"/>
      <c r="B99" s="89" t="s">
        <v>139</v>
      </c>
      <c r="C99" s="87"/>
      <c r="D99" s="15" t="s">
        <v>12</v>
      </c>
      <c r="E99" s="126">
        <v>2.1999999999999999E-2</v>
      </c>
      <c r="F99" s="91">
        <f>F97*E99</f>
        <v>1.9359999999999999</v>
      </c>
      <c r="G99" s="91"/>
      <c r="H99" s="6"/>
      <c r="I99" s="91"/>
      <c r="J99" s="6"/>
      <c r="K99" s="91"/>
      <c r="L99" s="6">
        <f t="shared" si="13"/>
        <v>0</v>
      </c>
      <c r="M99" s="109">
        <f t="shared" si="15"/>
        <v>0</v>
      </c>
    </row>
    <row r="100" spans="1:13">
      <c r="A100" s="287"/>
      <c r="B100" s="63" t="s">
        <v>254</v>
      </c>
      <c r="C100" s="63"/>
      <c r="D100" s="97" t="s">
        <v>8</v>
      </c>
      <c r="E100" s="97">
        <v>1.05</v>
      </c>
      <c r="F100" s="6">
        <f>26*1.05</f>
        <v>27.3</v>
      </c>
      <c r="G100" s="6"/>
      <c r="H100" s="6">
        <f t="shared" si="14"/>
        <v>0</v>
      </c>
      <c r="I100" s="6"/>
      <c r="J100" s="6"/>
      <c r="K100" s="6"/>
      <c r="L100" s="6"/>
      <c r="M100" s="109">
        <f t="shared" si="15"/>
        <v>0</v>
      </c>
    </row>
    <row r="101" spans="1:13">
      <c r="A101" s="287"/>
      <c r="B101" s="63" t="s">
        <v>255</v>
      </c>
      <c r="C101" s="63"/>
      <c r="D101" s="97" t="s">
        <v>8</v>
      </c>
      <c r="E101" s="97">
        <v>1.05</v>
      </c>
      <c r="F101" s="6">
        <f>22*1.05</f>
        <v>23.1</v>
      </c>
      <c r="G101" s="6"/>
      <c r="H101" s="6">
        <f t="shared" si="14"/>
        <v>0</v>
      </c>
      <c r="I101" s="6"/>
      <c r="J101" s="6"/>
      <c r="K101" s="6"/>
      <c r="L101" s="6"/>
      <c r="M101" s="109">
        <f t="shared" si="15"/>
        <v>0</v>
      </c>
    </row>
    <row r="102" spans="1:13" ht="114.65" customHeight="1">
      <c r="A102" s="287"/>
      <c r="B102" s="9" t="s">
        <v>168</v>
      </c>
      <c r="C102" s="9"/>
      <c r="D102" s="95" t="s">
        <v>8</v>
      </c>
      <c r="E102" s="28">
        <v>1</v>
      </c>
      <c r="F102" s="6">
        <f>E102*F97</f>
        <v>88</v>
      </c>
      <c r="G102" s="6"/>
      <c r="H102" s="6">
        <f t="shared" si="14"/>
        <v>0</v>
      </c>
      <c r="I102" s="6"/>
      <c r="J102" s="6"/>
      <c r="K102" s="6"/>
      <c r="L102" s="6"/>
      <c r="M102" s="109">
        <f t="shared" si="15"/>
        <v>0</v>
      </c>
    </row>
    <row r="103" spans="1:13">
      <c r="A103" s="288"/>
      <c r="B103" s="21" t="s">
        <v>11</v>
      </c>
      <c r="C103" s="21"/>
      <c r="D103" s="95" t="s">
        <v>12</v>
      </c>
      <c r="E103" s="95">
        <v>0.1</v>
      </c>
      <c r="F103" s="6">
        <f>F97*E103</f>
        <v>8.8000000000000007</v>
      </c>
      <c r="G103" s="6"/>
      <c r="H103" s="6">
        <f t="shared" si="14"/>
        <v>0</v>
      </c>
      <c r="I103" s="6"/>
      <c r="J103" s="6"/>
      <c r="K103" s="6"/>
      <c r="L103" s="6"/>
      <c r="M103" s="109">
        <f t="shared" si="15"/>
        <v>0</v>
      </c>
    </row>
    <row r="104" spans="1:13" ht="27">
      <c r="A104" s="292">
        <v>38</v>
      </c>
      <c r="B104" s="129" t="s">
        <v>256</v>
      </c>
      <c r="C104" s="129"/>
      <c r="D104" s="130" t="s">
        <v>8</v>
      </c>
      <c r="E104" s="130"/>
      <c r="F104" s="131">
        <v>53</v>
      </c>
      <c r="G104" s="28"/>
      <c r="H104" s="6"/>
      <c r="I104" s="28"/>
      <c r="J104" s="6"/>
      <c r="K104" s="28"/>
      <c r="L104" s="6"/>
      <c r="M104" s="109"/>
    </row>
    <row r="105" spans="1:13">
      <c r="A105" s="293"/>
      <c r="B105" s="9" t="s">
        <v>137</v>
      </c>
      <c r="C105" s="9"/>
      <c r="D105" s="7" t="s">
        <v>215</v>
      </c>
      <c r="E105" s="28">
        <v>1</v>
      </c>
      <c r="F105" s="28">
        <f>F104*E105</f>
        <v>53</v>
      </c>
      <c r="G105" s="16"/>
      <c r="H105" s="6"/>
      <c r="I105" s="28"/>
      <c r="J105" s="6">
        <f t="shared" si="12"/>
        <v>0</v>
      </c>
      <c r="K105" s="28"/>
      <c r="L105" s="6"/>
      <c r="M105" s="109">
        <f t="shared" si="15"/>
        <v>0</v>
      </c>
    </row>
    <row r="106" spans="1:13">
      <c r="A106" s="293"/>
      <c r="B106" s="89" t="s">
        <v>139</v>
      </c>
      <c r="C106" s="87"/>
      <c r="D106" s="15" t="s">
        <v>12</v>
      </c>
      <c r="E106" s="126">
        <v>3.1E-2</v>
      </c>
      <c r="F106" s="91">
        <f>F104*E106</f>
        <v>1.643</v>
      </c>
      <c r="G106" s="91"/>
      <c r="H106" s="6"/>
      <c r="I106" s="91"/>
      <c r="J106" s="6"/>
      <c r="K106" s="91"/>
      <c r="L106" s="6">
        <f t="shared" si="13"/>
        <v>0</v>
      </c>
      <c r="M106" s="109">
        <f t="shared" si="15"/>
        <v>0</v>
      </c>
    </row>
    <row r="107" spans="1:13">
      <c r="A107" s="293"/>
      <c r="B107" s="30" t="s">
        <v>257</v>
      </c>
      <c r="C107" s="30"/>
      <c r="D107" s="95" t="s">
        <v>8</v>
      </c>
      <c r="E107" s="95">
        <v>1.03</v>
      </c>
      <c r="F107" s="28">
        <f>E107*F104</f>
        <v>54.59</v>
      </c>
      <c r="G107" s="28"/>
      <c r="H107" s="6">
        <f t="shared" si="14"/>
        <v>0</v>
      </c>
      <c r="I107" s="28"/>
      <c r="J107" s="6"/>
      <c r="K107" s="28"/>
      <c r="L107" s="6"/>
      <c r="M107" s="109">
        <f t="shared" si="15"/>
        <v>0</v>
      </c>
    </row>
    <row r="108" spans="1:13">
      <c r="A108" s="293"/>
      <c r="B108" s="30" t="s">
        <v>169</v>
      </c>
      <c r="C108" s="30"/>
      <c r="D108" s="95" t="s">
        <v>13</v>
      </c>
      <c r="E108" s="28">
        <v>6</v>
      </c>
      <c r="F108" s="28">
        <f>E108*F104</f>
        <v>318</v>
      </c>
      <c r="G108" s="28"/>
      <c r="H108" s="6">
        <f t="shared" si="14"/>
        <v>0</v>
      </c>
      <c r="I108" s="28"/>
      <c r="J108" s="6"/>
      <c r="K108" s="28"/>
      <c r="L108" s="6"/>
      <c r="M108" s="109">
        <f t="shared" si="15"/>
        <v>0</v>
      </c>
    </row>
    <row r="109" spans="1:13">
      <c r="A109" s="293"/>
      <c r="B109" s="30" t="s">
        <v>170</v>
      </c>
      <c r="C109" s="30"/>
      <c r="D109" s="95" t="s">
        <v>13</v>
      </c>
      <c r="E109" s="95">
        <v>0.04</v>
      </c>
      <c r="F109" s="28">
        <f>E109*F104</f>
        <v>2.12</v>
      </c>
      <c r="G109" s="28"/>
      <c r="H109" s="6">
        <f t="shared" si="14"/>
        <v>0</v>
      </c>
      <c r="I109" s="28"/>
      <c r="J109" s="6"/>
      <c r="K109" s="28"/>
      <c r="L109" s="6"/>
      <c r="M109" s="109">
        <f t="shared" si="15"/>
        <v>0</v>
      </c>
    </row>
    <row r="110" spans="1:13">
      <c r="A110" s="293"/>
      <c r="B110" s="30" t="s">
        <v>171</v>
      </c>
      <c r="C110" s="30"/>
      <c r="D110" s="95" t="s">
        <v>9</v>
      </c>
      <c r="E110" s="28">
        <v>0.1</v>
      </c>
      <c r="F110" s="28">
        <f>E110*F104</f>
        <v>5.3000000000000007</v>
      </c>
      <c r="G110" s="28"/>
      <c r="H110" s="6">
        <f t="shared" si="14"/>
        <v>0</v>
      </c>
      <c r="I110" s="28"/>
      <c r="J110" s="6"/>
      <c r="K110" s="28"/>
      <c r="L110" s="6"/>
      <c r="M110" s="109">
        <f t="shared" si="15"/>
        <v>0</v>
      </c>
    </row>
    <row r="111" spans="1:13">
      <c r="A111" s="294"/>
      <c r="B111" s="30" t="s">
        <v>11</v>
      </c>
      <c r="C111" s="30"/>
      <c r="D111" s="95" t="s">
        <v>12</v>
      </c>
      <c r="E111" s="95">
        <v>7.0000000000000001E-3</v>
      </c>
      <c r="F111" s="28">
        <f>E111*F104</f>
        <v>0.371</v>
      </c>
      <c r="G111" s="28"/>
      <c r="H111" s="6">
        <f t="shared" si="14"/>
        <v>0</v>
      </c>
      <c r="I111" s="28"/>
      <c r="J111" s="6"/>
      <c r="K111" s="28"/>
      <c r="L111" s="6"/>
      <c r="M111" s="109">
        <f t="shared" si="15"/>
        <v>0</v>
      </c>
    </row>
    <row r="112" spans="1:13" ht="128.4" customHeight="1">
      <c r="A112" s="286">
        <v>39</v>
      </c>
      <c r="B112" s="93" t="s">
        <v>305</v>
      </c>
      <c r="C112" s="93"/>
      <c r="D112" s="112" t="s">
        <v>10</v>
      </c>
      <c r="E112" s="112"/>
      <c r="F112" s="128">
        <v>220</v>
      </c>
      <c r="G112" s="6"/>
      <c r="H112" s="6"/>
      <c r="I112" s="91"/>
      <c r="J112" s="6"/>
      <c r="K112" s="91"/>
      <c r="L112" s="6"/>
      <c r="M112" s="109"/>
    </row>
    <row r="113" spans="1:13">
      <c r="A113" s="287"/>
      <c r="B113" s="9" t="s">
        <v>137</v>
      </c>
      <c r="C113" s="9"/>
      <c r="D113" s="7" t="s">
        <v>215</v>
      </c>
      <c r="E113" s="28">
        <v>1</v>
      </c>
      <c r="F113" s="28">
        <f>F112*E113</f>
        <v>220</v>
      </c>
      <c r="G113" s="16"/>
      <c r="H113" s="6"/>
      <c r="I113" s="91"/>
      <c r="J113" s="6">
        <f t="shared" si="12"/>
        <v>0</v>
      </c>
      <c r="K113" s="91"/>
      <c r="L113" s="6"/>
      <c r="M113" s="109">
        <f t="shared" si="15"/>
        <v>0</v>
      </c>
    </row>
    <row r="114" spans="1:13">
      <c r="A114" s="287"/>
      <c r="B114" s="89" t="s">
        <v>139</v>
      </c>
      <c r="C114" s="87"/>
      <c r="D114" s="15" t="s">
        <v>12</v>
      </c>
      <c r="E114" s="126">
        <v>1.8200000000000001E-2</v>
      </c>
      <c r="F114" s="91">
        <f>F112*E114</f>
        <v>4.0040000000000004</v>
      </c>
      <c r="G114" s="91"/>
      <c r="H114" s="6"/>
      <c r="I114" s="91"/>
      <c r="J114" s="6"/>
      <c r="K114" s="91"/>
      <c r="L114" s="6">
        <f t="shared" si="13"/>
        <v>0</v>
      </c>
      <c r="M114" s="109">
        <f t="shared" si="15"/>
        <v>0</v>
      </c>
    </row>
    <row r="115" spans="1:13">
      <c r="A115" s="287"/>
      <c r="B115" s="127" t="s">
        <v>258</v>
      </c>
      <c r="C115" s="127"/>
      <c r="D115" s="97" t="s">
        <v>10</v>
      </c>
      <c r="E115" s="108">
        <v>1.05</v>
      </c>
      <c r="F115" s="91">
        <f>F112*E115</f>
        <v>231</v>
      </c>
      <c r="G115" s="91"/>
      <c r="H115" s="6">
        <f t="shared" si="14"/>
        <v>0</v>
      </c>
      <c r="I115" s="91"/>
      <c r="J115" s="6"/>
      <c r="K115" s="91"/>
      <c r="L115" s="6"/>
      <c r="M115" s="109">
        <f t="shared" si="15"/>
        <v>0</v>
      </c>
    </row>
    <row r="116" spans="1:13">
      <c r="A116" s="288"/>
      <c r="B116" s="127" t="s">
        <v>11</v>
      </c>
      <c r="C116" s="127"/>
      <c r="D116" s="97" t="s">
        <v>12</v>
      </c>
      <c r="E116" s="108">
        <v>0.08</v>
      </c>
      <c r="F116" s="91">
        <f>F112*E116</f>
        <v>17.600000000000001</v>
      </c>
      <c r="G116" s="91"/>
      <c r="H116" s="6">
        <f t="shared" si="14"/>
        <v>0</v>
      </c>
      <c r="I116" s="91"/>
      <c r="J116" s="6"/>
      <c r="K116" s="91"/>
      <c r="L116" s="6"/>
      <c r="M116" s="109">
        <f t="shared" si="15"/>
        <v>0</v>
      </c>
    </row>
    <row r="117" spans="1:13">
      <c r="A117" s="169"/>
      <c r="B117" s="170" t="s">
        <v>259</v>
      </c>
      <c r="C117" s="170"/>
      <c r="D117" s="15"/>
      <c r="E117" s="15"/>
      <c r="F117" s="16"/>
      <c r="G117" s="16"/>
      <c r="H117" s="6"/>
      <c r="I117" s="16"/>
      <c r="J117" s="6"/>
      <c r="K117" s="16"/>
      <c r="L117" s="6"/>
      <c r="M117" s="109"/>
    </row>
    <row r="118" spans="1:13" ht="136.75" customHeight="1">
      <c r="A118" s="286">
        <v>40</v>
      </c>
      <c r="B118" s="175" t="s">
        <v>260</v>
      </c>
      <c r="C118" s="212"/>
      <c r="D118" s="112" t="s">
        <v>8</v>
      </c>
      <c r="E118" s="112"/>
      <c r="F118" s="128">
        <f>0.9*2.15*2</f>
        <v>3.87</v>
      </c>
      <c r="G118" s="6"/>
      <c r="H118" s="6"/>
      <c r="I118" s="6"/>
      <c r="J118" s="6"/>
      <c r="K118" s="6"/>
      <c r="L118" s="6"/>
      <c r="M118" s="109"/>
    </row>
    <row r="119" spans="1:13">
      <c r="A119" s="287"/>
      <c r="B119" s="9" t="s">
        <v>137</v>
      </c>
      <c r="C119" s="9"/>
      <c r="D119" s="7" t="s">
        <v>215</v>
      </c>
      <c r="E119" s="28">
        <v>1</v>
      </c>
      <c r="F119" s="28">
        <f>F118*E119</f>
        <v>3.87</v>
      </c>
      <c r="G119" s="16"/>
      <c r="H119" s="6"/>
      <c r="I119" s="6"/>
      <c r="J119" s="6">
        <f t="shared" si="12"/>
        <v>0</v>
      </c>
      <c r="K119" s="91"/>
      <c r="L119" s="6">
        <f t="shared" si="13"/>
        <v>0</v>
      </c>
      <c r="M119" s="109">
        <f t="shared" si="15"/>
        <v>0</v>
      </c>
    </row>
    <row r="120" spans="1:13">
      <c r="A120" s="287"/>
      <c r="B120" s="89" t="s">
        <v>139</v>
      </c>
      <c r="C120" s="87"/>
      <c r="D120" s="15" t="s">
        <v>12</v>
      </c>
      <c r="E120" s="126">
        <v>0.13</v>
      </c>
      <c r="F120" s="91">
        <f>F118*E120</f>
        <v>0.50309999999999999</v>
      </c>
      <c r="G120" s="91"/>
      <c r="H120" s="6"/>
      <c r="I120" s="91"/>
      <c r="J120" s="6"/>
      <c r="K120" s="91"/>
      <c r="L120" s="6">
        <f t="shared" si="13"/>
        <v>0</v>
      </c>
      <c r="M120" s="109">
        <f t="shared" si="15"/>
        <v>0</v>
      </c>
    </row>
    <row r="121" spans="1:13" ht="27">
      <c r="A121" s="287"/>
      <c r="B121" s="127" t="s">
        <v>261</v>
      </c>
      <c r="C121" s="127"/>
      <c r="D121" s="7" t="s">
        <v>215</v>
      </c>
      <c r="E121" s="108" t="s">
        <v>167</v>
      </c>
      <c r="F121" s="6">
        <f>F118</f>
        <v>3.87</v>
      </c>
      <c r="G121" s="91"/>
      <c r="H121" s="6">
        <f t="shared" si="14"/>
        <v>0</v>
      </c>
      <c r="I121" s="91"/>
      <c r="J121" s="6"/>
      <c r="K121" s="91"/>
      <c r="L121" s="6"/>
      <c r="M121" s="109">
        <f t="shared" si="15"/>
        <v>0</v>
      </c>
    </row>
    <row r="122" spans="1:13">
      <c r="A122" s="287"/>
      <c r="B122" s="127" t="s">
        <v>173</v>
      </c>
      <c r="C122" s="127"/>
      <c r="D122" s="97" t="s">
        <v>153</v>
      </c>
      <c r="E122" s="171"/>
      <c r="F122" s="16">
        <v>3</v>
      </c>
      <c r="G122" s="16"/>
      <c r="H122" s="6">
        <f t="shared" si="14"/>
        <v>0</v>
      </c>
      <c r="I122" s="109"/>
      <c r="J122" s="6"/>
      <c r="K122" s="109"/>
      <c r="L122" s="6"/>
      <c r="M122" s="109">
        <f t="shared" si="15"/>
        <v>0</v>
      </c>
    </row>
    <row r="123" spans="1:13">
      <c r="A123" s="288"/>
      <c r="B123" s="127" t="s">
        <v>11</v>
      </c>
      <c r="C123" s="127"/>
      <c r="D123" s="97" t="s">
        <v>12</v>
      </c>
      <c r="E123" s="108">
        <v>0.02</v>
      </c>
      <c r="F123" s="91">
        <f>F118*E123</f>
        <v>7.740000000000001E-2</v>
      </c>
      <c r="G123" s="91"/>
      <c r="H123" s="6">
        <f t="shared" si="14"/>
        <v>0</v>
      </c>
      <c r="I123" s="91"/>
      <c r="J123" s="6"/>
      <c r="K123" s="91"/>
      <c r="L123" s="6"/>
      <c r="M123" s="109">
        <f t="shared" si="15"/>
        <v>0</v>
      </c>
    </row>
    <row r="124" spans="1:13" ht="135" customHeight="1">
      <c r="A124" s="286">
        <v>41</v>
      </c>
      <c r="B124" s="205" t="s">
        <v>313</v>
      </c>
      <c r="C124" s="210"/>
      <c r="D124" s="175" t="s">
        <v>8</v>
      </c>
      <c r="E124" s="175"/>
      <c r="F124" s="211">
        <f>(1.5*2.15)*19+(0.9*2.15)*3</f>
        <v>67.079999999999984</v>
      </c>
      <c r="G124" s="6"/>
      <c r="H124" s="6"/>
      <c r="I124" s="6"/>
      <c r="J124" s="6"/>
      <c r="K124" s="6"/>
      <c r="L124" s="6"/>
      <c r="M124" s="109"/>
    </row>
    <row r="125" spans="1:13">
      <c r="A125" s="287"/>
      <c r="B125" s="9" t="s">
        <v>137</v>
      </c>
      <c r="C125" s="9"/>
      <c r="D125" s="7" t="s">
        <v>215</v>
      </c>
      <c r="E125" s="28">
        <v>1</v>
      </c>
      <c r="F125" s="28">
        <f>F124*E125</f>
        <v>67.079999999999984</v>
      </c>
      <c r="G125" s="16"/>
      <c r="H125" s="6"/>
      <c r="I125" s="6"/>
      <c r="J125" s="6">
        <f t="shared" si="12"/>
        <v>0</v>
      </c>
      <c r="K125" s="91"/>
      <c r="L125" s="6"/>
      <c r="M125" s="109">
        <f t="shared" ref="M125:M130" si="16">L125+J125+H125</f>
        <v>0</v>
      </c>
    </row>
    <row r="126" spans="1:13">
      <c r="A126" s="287"/>
      <c r="B126" s="89" t="s">
        <v>139</v>
      </c>
      <c r="C126" s="87"/>
      <c r="D126" s="15" t="s">
        <v>12</v>
      </c>
      <c r="E126" s="126">
        <v>0.13</v>
      </c>
      <c r="F126" s="194">
        <f>F124*E126</f>
        <v>8.7203999999999979</v>
      </c>
      <c r="G126" s="91"/>
      <c r="H126" s="6"/>
      <c r="I126" s="91"/>
      <c r="J126" s="6"/>
      <c r="K126" s="91"/>
      <c r="L126" s="6">
        <f t="shared" si="13"/>
        <v>0</v>
      </c>
      <c r="M126" s="109">
        <f t="shared" si="16"/>
        <v>0</v>
      </c>
    </row>
    <row r="127" spans="1:13" ht="27">
      <c r="A127" s="287"/>
      <c r="B127" s="89" t="s">
        <v>302</v>
      </c>
      <c r="C127" s="87"/>
      <c r="D127" s="7" t="s">
        <v>215</v>
      </c>
      <c r="E127" s="126" t="s">
        <v>167</v>
      </c>
      <c r="F127" s="194">
        <f>1.5*2.15*19</f>
        <v>61.274999999999991</v>
      </c>
      <c r="G127" s="91"/>
      <c r="H127" s="6">
        <f t="shared" si="14"/>
        <v>0</v>
      </c>
      <c r="I127" s="91"/>
      <c r="J127" s="6"/>
      <c r="K127" s="91"/>
      <c r="L127" s="6"/>
      <c r="M127" s="109">
        <f t="shared" si="16"/>
        <v>0</v>
      </c>
    </row>
    <row r="128" spans="1:13" ht="27">
      <c r="A128" s="287"/>
      <c r="B128" s="89" t="s">
        <v>301</v>
      </c>
      <c r="C128" s="87"/>
      <c r="D128" s="7" t="s">
        <v>215</v>
      </c>
      <c r="E128" s="126" t="s">
        <v>167</v>
      </c>
      <c r="F128" s="194">
        <f>0.9*2.15*3</f>
        <v>5.8049999999999997</v>
      </c>
      <c r="G128" s="91"/>
      <c r="H128" s="6">
        <f t="shared" si="14"/>
        <v>0</v>
      </c>
      <c r="I128" s="91"/>
      <c r="J128" s="6"/>
      <c r="K128" s="91"/>
      <c r="L128" s="6"/>
      <c r="M128" s="109">
        <f t="shared" si="16"/>
        <v>0</v>
      </c>
    </row>
    <row r="129" spans="1:13">
      <c r="A129" s="287"/>
      <c r="B129" s="127" t="s">
        <v>173</v>
      </c>
      <c r="C129" s="127"/>
      <c r="D129" s="97" t="s">
        <v>153</v>
      </c>
      <c r="E129" s="132"/>
      <c r="F129" s="71">
        <v>7</v>
      </c>
      <c r="G129" s="16"/>
      <c r="H129" s="6">
        <f t="shared" si="14"/>
        <v>0</v>
      </c>
      <c r="I129" s="109"/>
      <c r="J129" s="6"/>
      <c r="K129" s="109"/>
      <c r="L129" s="6"/>
      <c r="M129" s="109">
        <f t="shared" si="16"/>
        <v>0</v>
      </c>
    </row>
    <row r="130" spans="1:13">
      <c r="A130" s="288"/>
      <c r="B130" s="127" t="s">
        <v>11</v>
      </c>
      <c r="C130" s="127"/>
      <c r="D130" s="97" t="s">
        <v>12</v>
      </c>
      <c r="E130" s="108">
        <v>0.02</v>
      </c>
      <c r="F130" s="194">
        <f>F124*E130</f>
        <v>1.3415999999999997</v>
      </c>
      <c r="G130" s="91"/>
      <c r="H130" s="6">
        <f t="shared" si="14"/>
        <v>0</v>
      </c>
      <c r="I130" s="91"/>
      <c r="J130" s="6"/>
      <c r="K130" s="91"/>
      <c r="L130" s="6"/>
      <c r="M130" s="109">
        <f t="shared" si="16"/>
        <v>0</v>
      </c>
    </row>
    <row r="131" spans="1:13">
      <c r="A131" s="169"/>
      <c r="B131" s="170" t="s">
        <v>262</v>
      </c>
      <c r="C131" s="170"/>
      <c r="D131" s="15"/>
      <c r="E131" s="15"/>
      <c r="F131" s="16"/>
      <c r="G131" s="16"/>
      <c r="H131" s="6"/>
      <c r="I131" s="16"/>
      <c r="J131" s="6"/>
      <c r="K131" s="16"/>
      <c r="L131" s="6"/>
      <c r="M131" s="109"/>
    </row>
    <row r="132" spans="1:13" ht="27">
      <c r="A132" s="292">
        <v>42</v>
      </c>
      <c r="B132" s="111" t="s">
        <v>263</v>
      </c>
      <c r="C132" s="111"/>
      <c r="D132" s="112" t="s">
        <v>8</v>
      </c>
      <c r="E132" s="66"/>
      <c r="F132" s="114">
        <v>712</v>
      </c>
      <c r="G132" s="16"/>
      <c r="H132" s="6"/>
      <c r="I132" s="16"/>
      <c r="J132" s="6"/>
      <c r="K132" s="16"/>
      <c r="L132" s="6"/>
      <c r="M132" s="109"/>
    </row>
    <row r="133" spans="1:13">
      <c r="A133" s="293"/>
      <c r="B133" s="9" t="s">
        <v>137</v>
      </c>
      <c r="C133" s="9"/>
      <c r="D133" s="7" t="s">
        <v>215</v>
      </c>
      <c r="E133" s="28">
        <v>1</v>
      </c>
      <c r="F133" s="28">
        <f>F132*E133</f>
        <v>712</v>
      </c>
      <c r="G133" s="16"/>
      <c r="H133" s="6"/>
      <c r="I133" s="28"/>
      <c r="J133" s="6">
        <f t="shared" si="12"/>
        <v>0</v>
      </c>
      <c r="K133" s="28"/>
      <c r="L133" s="6"/>
      <c r="M133" s="109">
        <f t="shared" ref="M133:M164" si="17">L133+J133+H133</f>
        <v>0</v>
      </c>
    </row>
    <row r="134" spans="1:13">
      <c r="A134" s="293"/>
      <c r="B134" s="89" t="s">
        <v>139</v>
      </c>
      <c r="C134" s="87"/>
      <c r="D134" s="15" t="s">
        <v>12</v>
      </c>
      <c r="E134" s="124">
        <v>0.05</v>
      </c>
      <c r="F134" s="91">
        <f>E134*F132</f>
        <v>35.6</v>
      </c>
      <c r="G134" s="91"/>
      <c r="H134" s="6"/>
      <c r="I134" s="91"/>
      <c r="J134" s="6"/>
      <c r="K134" s="91"/>
      <c r="L134" s="6">
        <f t="shared" si="13"/>
        <v>0</v>
      </c>
      <c r="M134" s="109">
        <f t="shared" si="17"/>
        <v>0</v>
      </c>
    </row>
    <row r="135" spans="1:13">
      <c r="A135" s="293"/>
      <c r="B135" s="63" t="s">
        <v>264</v>
      </c>
      <c r="C135" s="63"/>
      <c r="D135" s="97" t="s">
        <v>8</v>
      </c>
      <c r="E135" s="7">
        <v>1.05</v>
      </c>
      <c r="F135" s="6">
        <f>F132*E135</f>
        <v>747.6</v>
      </c>
      <c r="G135" s="6"/>
      <c r="H135" s="6">
        <f t="shared" si="14"/>
        <v>0</v>
      </c>
      <c r="I135" s="6"/>
      <c r="J135" s="6"/>
      <c r="K135" s="6"/>
      <c r="L135" s="6">
        <f t="shared" si="13"/>
        <v>0</v>
      </c>
      <c r="M135" s="109">
        <f t="shared" si="17"/>
        <v>0</v>
      </c>
    </row>
    <row r="136" spans="1:13" ht="161.4" customHeight="1">
      <c r="A136" s="293"/>
      <c r="B136" s="9" t="s">
        <v>265</v>
      </c>
      <c r="C136" s="9"/>
      <c r="D136" s="95" t="s">
        <v>8</v>
      </c>
      <c r="E136" s="6">
        <v>1</v>
      </c>
      <c r="F136" s="6">
        <f>F132</f>
        <v>712</v>
      </c>
      <c r="G136" s="6"/>
      <c r="H136" s="6">
        <f t="shared" si="14"/>
        <v>0</v>
      </c>
      <c r="I136" s="6"/>
      <c r="J136" s="6"/>
      <c r="K136" s="6"/>
      <c r="L136" s="6"/>
      <c r="M136" s="109">
        <f t="shared" si="17"/>
        <v>0</v>
      </c>
    </row>
    <row r="137" spans="1:13">
      <c r="A137" s="294"/>
      <c r="B137" s="21" t="s">
        <v>266</v>
      </c>
      <c r="C137" s="21"/>
      <c r="D137" s="95" t="s">
        <v>12</v>
      </c>
      <c r="E137" s="6">
        <v>0.1</v>
      </c>
      <c r="F137" s="6">
        <f>F132*0.1</f>
        <v>71.2</v>
      </c>
      <c r="G137" s="6"/>
      <c r="H137" s="6">
        <f t="shared" si="14"/>
        <v>0</v>
      </c>
      <c r="I137" s="6"/>
      <c r="J137" s="6"/>
      <c r="K137" s="6"/>
      <c r="L137" s="6"/>
      <c r="M137" s="109">
        <f t="shared" si="17"/>
        <v>0</v>
      </c>
    </row>
    <row r="138" spans="1:13">
      <c r="A138" s="169"/>
      <c r="B138" s="170" t="s">
        <v>174</v>
      </c>
      <c r="C138" s="170"/>
      <c r="D138" s="15"/>
      <c r="E138" s="15"/>
      <c r="F138" s="16"/>
      <c r="G138" s="16"/>
      <c r="H138" s="6"/>
      <c r="I138" s="16"/>
      <c r="J138" s="6"/>
      <c r="K138" s="16"/>
      <c r="L138" s="6"/>
      <c r="M138" s="109"/>
    </row>
    <row r="139" spans="1:13" ht="27">
      <c r="A139" s="295">
        <v>43</v>
      </c>
      <c r="B139" s="129" t="s">
        <v>267</v>
      </c>
      <c r="C139" s="129"/>
      <c r="D139" s="135" t="s">
        <v>8</v>
      </c>
      <c r="E139" s="135"/>
      <c r="F139" s="128">
        <v>1394</v>
      </c>
      <c r="G139" s="28"/>
      <c r="H139" s="6"/>
      <c r="I139" s="28"/>
      <c r="J139" s="6"/>
      <c r="K139" s="28"/>
      <c r="L139" s="6"/>
      <c r="M139" s="109"/>
    </row>
    <row r="140" spans="1:13">
      <c r="A140" s="295"/>
      <c r="B140" s="9" t="s">
        <v>137</v>
      </c>
      <c r="C140" s="9"/>
      <c r="D140" s="7" t="s">
        <v>215</v>
      </c>
      <c r="E140" s="28">
        <v>1</v>
      </c>
      <c r="F140" s="28">
        <f>F139*E140</f>
        <v>1394</v>
      </c>
      <c r="G140" s="16"/>
      <c r="H140" s="6"/>
      <c r="I140" s="28"/>
      <c r="J140" s="6">
        <f t="shared" si="12"/>
        <v>0</v>
      </c>
      <c r="K140" s="28"/>
      <c r="L140" s="6">
        <f t="shared" si="13"/>
        <v>0</v>
      </c>
      <c r="M140" s="109">
        <f t="shared" si="17"/>
        <v>0</v>
      </c>
    </row>
    <row r="141" spans="1:13">
      <c r="A141" s="295"/>
      <c r="B141" s="89" t="s">
        <v>139</v>
      </c>
      <c r="C141" s="87"/>
      <c r="D141" s="15" t="s">
        <v>12</v>
      </c>
      <c r="E141" s="126">
        <v>8.9999999999999993E-3</v>
      </c>
      <c r="F141" s="91">
        <f>E141*F139</f>
        <v>12.545999999999999</v>
      </c>
      <c r="G141" s="91"/>
      <c r="H141" s="6"/>
      <c r="I141" s="91"/>
      <c r="J141" s="6"/>
      <c r="K141" s="91"/>
      <c r="L141" s="6">
        <f t="shared" si="13"/>
        <v>0</v>
      </c>
      <c r="M141" s="109">
        <f t="shared" si="17"/>
        <v>0</v>
      </c>
    </row>
    <row r="142" spans="1:13">
      <c r="A142" s="295"/>
      <c r="B142" s="172" t="s">
        <v>30</v>
      </c>
      <c r="C142" s="172"/>
      <c r="D142" s="23" t="s">
        <v>13</v>
      </c>
      <c r="E142" s="95">
        <v>0.45</v>
      </c>
      <c r="F142" s="6">
        <f>F139*E142</f>
        <v>627.30000000000007</v>
      </c>
      <c r="G142" s="6"/>
      <c r="H142" s="6">
        <f t="shared" si="14"/>
        <v>0</v>
      </c>
      <c r="I142" s="6"/>
      <c r="J142" s="6"/>
      <c r="K142" s="6"/>
      <c r="L142" s="6"/>
      <c r="M142" s="109">
        <f t="shared" si="17"/>
        <v>0</v>
      </c>
    </row>
    <row r="143" spans="1:13">
      <c r="A143" s="295"/>
      <c r="B143" s="172" t="s">
        <v>72</v>
      </c>
      <c r="C143" s="172"/>
      <c r="D143" s="23" t="s">
        <v>8</v>
      </c>
      <c r="E143" s="95">
        <v>8.9999999999999993E-3</v>
      </c>
      <c r="F143" s="136">
        <f>F139*E143</f>
        <v>12.545999999999999</v>
      </c>
      <c r="G143" s="6"/>
      <c r="H143" s="6">
        <f t="shared" si="14"/>
        <v>0</v>
      </c>
      <c r="I143" s="6"/>
      <c r="J143" s="6"/>
      <c r="K143" s="6"/>
      <c r="L143" s="6"/>
      <c r="M143" s="109">
        <f t="shared" si="17"/>
        <v>0</v>
      </c>
    </row>
    <row r="144" spans="1:13" ht="94.75" customHeight="1">
      <c r="A144" s="295"/>
      <c r="B144" s="178" t="s">
        <v>310</v>
      </c>
      <c r="C144" s="137"/>
      <c r="D144" s="23" t="s">
        <v>13</v>
      </c>
      <c r="E144" s="95">
        <v>0.63</v>
      </c>
      <c r="F144" s="6">
        <f>F139*E144</f>
        <v>878.22</v>
      </c>
      <c r="G144" s="6"/>
      <c r="H144" s="6">
        <f t="shared" si="14"/>
        <v>0</v>
      </c>
      <c r="I144" s="6"/>
      <c r="J144" s="6"/>
      <c r="K144" s="6"/>
      <c r="L144" s="6"/>
      <c r="M144" s="109">
        <f t="shared" si="17"/>
        <v>0</v>
      </c>
    </row>
    <row r="145" spans="1:13">
      <c r="A145" s="295"/>
      <c r="B145" s="137" t="s">
        <v>175</v>
      </c>
      <c r="C145" s="137"/>
      <c r="D145" s="23" t="s">
        <v>13</v>
      </c>
      <c r="E145" s="95">
        <v>0.12</v>
      </c>
      <c r="F145" s="6">
        <f>F139*E145</f>
        <v>167.28</v>
      </c>
      <c r="G145" s="6"/>
      <c r="H145" s="6">
        <f t="shared" si="14"/>
        <v>0</v>
      </c>
      <c r="I145" s="6"/>
      <c r="J145" s="6"/>
      <c r="K145" s="6"/>
      <c r="L145" s="6"/>
      <c r="M145" s="109">
        <f t="shared" si="17"/>
        <v>0</v>
      </c>
    </row>
    <row r="146" spans="1:13">
      <c r="A146" s="295"/>
      <c r="B146" s="5" t="s">
        <v>38</v>
      </c>
      <c r="C146" s="5"/>
      <c r="D146" s="23" t="s">
        <v>10</v>
      </c>
      <c r="E146" s="95">
        <v>0.6</v>
      </c>
      <c r="F146" s="6">
        <f>F139*E146</f>
        <v>836.4</v>
      </c>
      <c r="G146" s="6"/>
      <c r="H146" s="6">
        <f t="shared" si="14"/>
        <v>0</v>
      </c>
      <c r="I146" s="6"/>
      <c r="J146" s="6"/>
      <c r="K146" s="6"/>
      <c r="L146" s="6"/>
      <c r="M146" s="109">
        <f t="shared" si="17"/>
        <v>0</v>
      </c>
    </row>
    <row r="147" spans="1:13">
      <c r="A147" s="295"/>
      <c r="B147" s="127" t="s">
        <v>176</v>
      </c>
      <c r="C147" s="127"/>
      <c r="D147" s="97" t="s">
        <v>153</v>
      </c>
      <c r="E147" s="138"/>
      <c r="F147" s="16">
        <v>9</v>
      </c>
      <c r="G147" s="91"/>
      <c r="H147" s="6">
        <f t="shared" si="14"/>
        <v>0</v>
      </c>
      <c r="I147" s="16"/>
      <c r="J147" s="6"/>
      <c r="K147" s="109"/>
      <c r="L147" s="6"/>
      <c r="M147" s="109">
        <f t="shared" si="17"/>
        <v>0</v>
      </c>
    </row>
    <row r="148" spans="1:13">
      <c r="A148" s="295"/>
      <c r="B148" s="5" t="s">
        <v>37</v>
      </c>
      <c r="C148" s="5"/>
      <c r="D148" s="23" t="s">
        <v>10</v>
      </c>
      <c r="E148" s="95">
        <v>0.26</v>
      </c>
      <c r="F148" s="6">
        <f>F139*E148</f>
        <v>362.44</v>
      </c>
      <c r="G148" s="6"/>
      <c r="H148" s="6">
        <f t="shared" si="14"/>
        <v>0</v>
      </c>
      <c r="I148" s="6"/>
      <c r="J148" s="6"/>
      <c r="K148" s="6"/>
      <c r="L148" s="6"/>
      <c r="M148" s="109">
        <f t="shared" si="17"/>
        <v>0</v>
      </c>
    </row>
    <row r="149" spans="1:13">
      <c r="A149" s="295"/>
      <c r="B149" s="5" t="s">
        <v>177</v>
      </c>
      <c r="C149" s="5"/>
      <c r="D149" s="23" t="s">
        <v>12</v>
      </c>
      <c r="E149" s="95">
        <v>7.0000000000000001E-3</v>
      </c>
      <c r="F149" s="6">
        <f>F139*E149</f>
        <v>9.7580000000000009</v>
      </c>
      <c r="G149" s="6"/>
      <c r="H149" s="6">
        <f t="shared" ref="H149:H212" si="18">G149*F149</f>
        <v>0</v>
      </c>
      <c r="I149" s="6"/>
      <c r="J149" s="6"/>
      <c r="K149" s="6"/>
      <c r="L149" s="6"/>
      <c r="M149" s="109">
        <f t="shared" si="17"/>
        <v>0</v>
      </c>
    </row>
    <row r="150" spans="1:13" ht="27">
      <c r="A150" s="295">
        <v>44</v>
      </c>
      <c r="B150" s="129" t="s">
        <v>268</v>
      </c>
      <c r="C150" s="129"/>
      <c r="D150" s="135" t="s">
        <v>8</v>
      </c>
      <c r="E150" s="135"/>
      <c r="F150" s="128">
        <v>712</v>
      </c>
      <c r="G150" s="28"/>
      <c r="H150" s="6"/>
      <c r="I150" s="28"/>
      <c r="J150" s="6"/>
      <c r="K150" s="28"/>
      <c r="L150" s="6"/>
      <c r="M150" s="109"/>
    </row>
    <row r="151" spans="1:13">
      <c r="A151" s="295"/>
      <c r="B151" s="9" t="s">
        <v>137</v>
      </c>
      <c r="C151" s="9"/>
      <c r="D151" s="7" t="s">
        <v>215</v>
      </c>
      <c r="E151" s="28">
        <v>1</v>
      </c>
      <c r="F151" s="28">
        <f>F150*E151</f>
        <v>712</v>
      </c>
      <c r="G151" s="16"/>
      <c r="H151" s="6"/>
      <c r="I151" s="28"/>
      <c r="J151" s="6">
        <f t="shared" ref="J151:J203" si="19">I151*F151</f>
        <v>0</v>
      </c>
      <c r="K151" s="28"/>
      <c r="L151" s="6">
        <f t="shared" ref="L151:L204" si="20">K151*F151</f>
        <v>0</v>
      </c>
      <c r="M151" s="109">
        <f t="shared" ref="M151:M158" si="21">L151+J151+H151</f>
        <v>0</v>
      </c>
    </row>
    <row r="152" spans="1:13">
      <c r="A152" s="295"/>
      <c r="B152" s="89" t="s">
        <v>139</v>
      </c>
      <c r="C152" s="87"/>
      <c r="D152" s="15" t="s">
        <v>12</v>
      </c>
      <c r="E152" s="126">
        <v>8.9999999999999993E-3</v>
      </c>
      <c r="F152" s="91">
        <f>E152*F150</f>
        <v>6.4079999999999995</v>
      </c>
      <c r="G152" s="91"/>
      <c r="H152" s="6"/>
      <c r="I152" s="91"/>
      <c r="J152" s="6"/>
      <c r="K152" s="91"/>
      <c r="L152" s="6">
        <f t="shared" si="20"/>
        <v>0</v>
      </c>
      <c r="M152" s="109">
        <f t="shared" si="21"/>
        <v>0</v>
      </c>
    </row>
    <row r="153" spans="1:13">
      <c r="A153" s="295"/>
      <c r="B153" s="172" t="s">
        <v>30</v>
      </c>
      <c r="C153" s="172"/>
      <c r="D153" s="23" t="s">
        <v>13</v>
      </c>
      <c r="E153" s="95">
        <v>0.45</v>
      </c>
      <c r="F153" s="6">
        <f>F150*E153</f>
        <v>320.40000000000003</v>
      </c>
      <c r="G153" s="6"/>
      <c r="H153" s="6">
        <f t="shared" si="18"/>
        <v>0</v>
      </c>
      <c r="I153" s="6"/>
      <c r="J153" s="6"/>
      <c r="K153" s="6"/>
      <c r="L153" s="6"/>
      <c r="M153" s="109">
        <f t="shared" si="21"/>
        <v>0</v>
      </c>
    </row>
    <row r="154" spans="1:13">
      <c r="A154" s="295"/>
      <c r="B154" s="172" t="s">
        <v>72</v>
      </c>
      <c r="C154" s="172"/>
      <c r="D154" s="23" t="s">
        <v>8</v>
      </c>
      <c r="E154" s="95">
        <v>8.9999999999999993E-3</v>
      </c>
      <c r="F154" s="136">
        <f>F150*E154</f>
        <v>6.4079999999999995</v>
      </c>
      <c r="G154" s="6"/>
      <c r="H154" s="6">
        <f t="shared" si="18"/>
        <v>0</v>
      </c>
      <c r="I154" s="6"/>
      <c r="J154" s="6"/>
      <c r="K154" s="6"/>
      <c r="L154" s="6"/>
      <c r="M154" s="109">
        <f t="shared" si="21"/>
        <v>0</v>
      </c>
    </row>
    <row r="155" spans="1:13" ht="93.65" customHeight="1">
      <c r="A155" s="295"/>
      <c r="B155" s="178" t="s">
        <v>310</v>
      </c>
      <c r="C155" s="137"/>
      <c r="D155" s="23" t="s">
        <v>13</v>
      </c>
      <c r="E155" s="95">
        <v>0.63</v>
      </c>
      <c r="F155" s="6">
        <f>F150*E155</f>
        <v>448.56</v>
      </c>
      <c r="G155" s="6"/>
      <c r="H155" s="6">
        <f t="shared" si="18"/>
        <v>0</v>
      </c>
      <c r="I155" s="6"/>
      <c r="J155" s="6"/>
      <c r="K155" s="6"/>
      <c r="L155" s="6"/>
      <c r="M155" s="109">
        <f t="shared" si="21"/>
        <v>0</v>
      </c>
    </row>
    <row r="156" spans="1:13">
      <c r="A156" s="295"/>
      <c r="B156" s="137" t="s">
        <v>175</v>
      </c>
      <c r="C156" s="137"/>
      <c r="D156" s="23" t="s">
        <v>13</v>
      </c>
      <c r="E156" s="95">
        <v>0.12</v>
      </c>
      <c r="F156" s="6">
        <f>F150*E156</f>
        <v>85.44</v>
      </c>
      <c r="G156" s="6"/>
      <c r="H156" s="6">
        <f t="shared" si="18"/>
        <v>0</v>
      </c>
      <c r="I156" s="6"/>
      <c r="J156" s="6"/>
      <c r="K156" s="6"/>
      <c r="L156" s="6"/>
      <c r="M156" s="109">
        <f t="shared" si="21"/>
        <v>0</v>
      </c>
    </row>
    <row r="157" spans="1:13">
      <c r="A157" s="295"/>
      <c r="B157" s="5" t="s">
        <v>38</v>
      </c>
      <c r="C157" s="5"/>
      <c r="D157" s="23" t="s">
        <v>10</v>
      </c>
      <c r="E157" s="95">
        <v>0.6</v>
      </c>
      <c r="F157" s="6">
        <f>F150*E157</f>
        <v>427.2</v>
      </c>
      <c r="G157" s="6"/>
      <c r="H157" s="6">
        <f t="shared" si="18"/>
        <v>0</v>
      </c>
      <c r="I157" s="6"/>
      <c r="J157" s="6"/>
      <c r="K157" s="6"/>
      <c r="L157" s="6"/>
      <c r="M157" s="109">
        <f t="shared" si="21"/>
        <v>0</v>
      </c>
    </row>
    <row r="158" spans="1:13">
      <c r="A158" s="295"/>
      <c r="B158" s="5" t="s">
        <v>177</v>
      </c>
      <c r="C158" s="5"/>
      <c r="D158" s="23" t="s">
        <v>12</v>
      </c>
      <c r="E158" s="95">
        <v>7.0000000000000001E-3</v>
      </c>
      <c r="F158" s="6">
        <f>F150*E158</f>
        <v>4.984</v>
      </c>
      <c r="G158" s="6"/>
      <c r="H158" s="6">
        <f t="shared" si="18"/>
        <v>0</v>
      </c>
      <c r="I158" s="6"/>
      <c r="J158" s="6"/>
      <c r="K158" s="6"/>
      <c r="L158" s="6"/>
      <c r="M158" s="109">
        <f t="shared" si="21"/>
        <v>0</v>
      </c>
    </row>
    <row r="159" spans="1:13">
      <c r="A159" s="169"/>
      <c r="B159" s="170" t="s">
        <v>178</v>
      </c>
      <c r="C159" s="170"/>
      <c r="D159" s="15"/>
      <c r="E159" s="15"/>
      <c r="F159" s="16"/>
      <c r="G159" s="16"/>
      <c r="H159" s="6"/>
      <c r="I159" s="16"/>
      <c r="J159" s="6"/>
      <c r="K159" s="16"/>
      <c r="L159" s="6"/>
      <c r="M159" s="109"/>
    </row>
    <row r="160" spans="1:13" ht="27">
      <c r="A160" s="278">
        <v>45</v>
      </c>
      <c r="B160" s="111" t="s">
        <v>269</v>
      </c>
      <c r="C160" s="111"/>
      <c r="D160" s="112" t="s">
        <v>9</v>
      </c>
      <c r="E160" s="112"/>
      <c r="F160" s="114">
        <v>5</v>
      </c>
      <c r="G160" s="16"/>
      <c r="H160" s="6"/>
      <c r="I160" s="109"/>
      <c r="J160" s="6"/>
      <c r="K160" s="109"/>
      <c r="L160" s="6"/>
      <c r="M160" s="109"/>
    </row>
    <row r="161" spans="1:13">
      <c r="A161" s="279"/>
      <c r="B161" s="9" t="s">
        <v>137</v>
      </c>
      <c r="C161" s="9"/>
      <c r="D161" s="7" t="s">
        <v>138</v>
      </c>
      <c r="E161" s="28">
        <v>1</v>
      </c>
      <c r="F161" s="28">
        <f>F160*E161</f>
        <v>5</v>
      </c>
      <c r="G161" s="16"/>
      <c r="H161" s="6"/>
      <c r="I161" s="109"/>
      <c r="J161" s="6">
        <f t="shared" si="19"/>
        <v>0</v>
      </c>
      <c r="K161" s="28"/>
      <c r="L161" s="6"/>
      <c r="M161" s="109">
        <f t="shared" si="17"/>
        <v>0</v>
      </c>
    </row>
    <row r="162" spans="1:13">
      <c r="A162" s="279"/>
      <c r="B162" s="113" t="s">
        <v>139</v>
      </c>
      <c r="C162" s="113"/>
      <c r="D162" s="173" t="s">
        <v>12</v>
      </c>
      <c r="E162" s="16">
        <v>7.0000000000000007E-2</v>
      </c>
      <c r="F162" s="16">
        <f>F160*E162</f>
        <v>0.35000000000000003</v>
      </c>
      <c r="G162" s="16"/>
      <c r="H162" s="6"/>
      <c r="I162" s="16"/>
      <c r="J162" s="6"/>
      <c r="K162" s="16"/>
      <c r="L162" s="6">
        <f t="shared" si="20"/>
        <v>0</v>
      </c>
      <c r="M162" s="109">
        <f t="shared" si="17"/>
        <v>0</v>
      </c>
    </row>
    <row r="163" spans="1:13" ht="27">
      <c r="A163" s="279"/>
      <c r="B163" s="9" t="s">
        <v>270</v>
      </c>
      <c r="C163" s="9"/>
      <c r="D163" s="95" t="s">
        <v>138</v>
      </c>
      <c r="E163" s="16">
        <v>1</v>
      </c>
      <c r="F163" s="16">
        <f>F160*E163</f>
        <v>5</v>
      </c>
      <c r="G163" s="16"/>
      <c r="H163" s="6">
        <f t="shared" si="18"/>
        <v>0</v>
      </c>
      <c r="I163" s="16"/>
      <c r="J163" s="6"/>
      <c r="K163" s="16"/>
      <c r="L163" s="6"/>
      <c r="M163" s="109">
        <f t="shared" si="17"/>
        <v>0</v>
      </c>
    </row>
    <row r="164" spans="1:13">
      <c r="A164" s="279"/>
      <c r="B164" s="113" t="s">
        <v>11</v>
      </c>
      <c r="C164" s="113"/>
      <c r="D164" s="173" t="s">
        <v>12</v>
      </c>
      <c r="E164" s="16">
        <v>0.37</v>
      </c>
      <c r="F164" s="16">
        <f>F160*E164</f>
        <v>1.85</v>
      </c>
      <c r="G164" s="16"/>
      <c r="H164" s="6">
        <f t="shared" si="18"/>
        <v>0</v>
      </c>
      <c r="I164" s="16"/>
      <c r="J164" s="6"/>
      <c r="K164" s="16"/>
      <c r="L164" s="6"/>
      <c r="M164" s="109">
        <f t="shared" si="17"/>
        <v>0</v>
      </c>
    </row>
    <row r="165" spans="1:13" ht="40.5">
      <c r="A165" s="278">
        <v>46</v>
      </c>
      <c r="B165" s="111" t="s">
        <v>271</v>
      </c>
      <c r="C165" s="111"/>
      <c r="D165" s="112" t="s">
        <v>9</v>
      </c>
      <c r="E165" s="112"/>
      <c r="F165" s="114">
        <v>2</v>
      </c>
      <c r="G165" s="16"/>
      <c r="H165" s="6"/>
      <c r="I165" s="109"/>
      <c r="J165" s="6"/>
      <c r="K165" s="109"/>
      <c r="L165" s="6"/>
      <c r="M165" s="109"/>
    </row>
    <row r="166" spans="1:13">
      <c r="A166" s="279"/>
      <c r="B166" s="9" t="s">
        <v>137</v>
      </c>
      <c r="C166" s="9"/>
      <c r="D166" s="7" t="s">
        <v>138</v>
      </c>
      <c r="E166" s="28">
        <v>1</v>
      </c>
      <c r="F166" s="28">
        <f>F165*E166</f>
        <v>2</v>
      </c>
      <c r="G166" s="16"/>
      <c r="H166" s="6"/>
      <c r="I166" s="109"/>
      <c r="J166" s="6">
        <f t="shared" si="19"/>
        <v>0</v>
      </c>
      <c r="K166" s="28"/>
      <c r="L166" s="6"/>
      <c r="M166" s="109">
        <f t="shared" ref="M166:M228" si="22">L166+J166+H166</f>
        <v>0</v>
      </c>
    </row>
    <row r="167" spans="1:13">
      <c r="A167" s="279"/>
      <c r="B167" s="113" t="s">
        <v>139</v>
      </c>
      <c r="C167" s="113"/>
      <c r="D167" s="173" t="s">
        <v>12</v>
      </c>
      <c r="E167" s="16">
        <v>7.0000000000000007E-2</v>
      </c>
      <c r="F167" s="16">
        <f>F165*E167</f>
        <v>0.14000000000000001</v>
      </c>
      <c r="G167" s="16"/>
      <c r="H167" s="6"/>
      <c r="I167" s="16"/>
      <c r="J167" s="6"/>
      <c r="K167" s="16"/>
      <c r="L167" s="6">
        <f t="shared" si="20"/>
        <v>0</v>
      </c>
      <c r="M167" s="109">
        <f t="shared" si="22"/>
        <v>0</v>
      </c>
    </row>
    <row r="168" spans="1:13" ht="27">
      <c r="A168" s="279"/>
      <c r="B168" s="9" t="s">
        <v>270</v>
      </c>
      <c r="C168" s="9"/>
      <c r="D168" s="95" t="s">
        <v>138</v>
      </c>
      <c r="E168" s="16">
        <v>1</v>
      </c>
      <c r="F168" s="16">
        <f>F165*E168</f>
        <v>2</v>
      </c>
      <c r="G168" s="16"/>
      <c r="H168" s="6">
        <f t="shared" si="18"/>
        <v>0</v>
      </c>
      <c r="I168" s="16"/>
      <c r="J168" s="6"/>
      <c r="K168" s="16"/>
      <c r="L168" s="6"/>
      <c r="M168" s="109">
        <f t="shared" si="22"/>
        <v>0</v>
      </c>
    </row>
    <row r="169" spans="1:13">
      <c r="A169" s="279"/>
      <c r="B169" s="113" t="s">
        <v>11</v>
      </c>
      <c r="C169" s="113"/>
      <c r="D169" s="173" t="s">
        <v>12</v>
      </c>
      <c r="E169" s="16">
        <v>0.37</v>
      </c>
      <c r="F169" s="16">
        <f>F165*E169</f>
        <v>0.74</v>
      </c>
      <c r="G169" s="16"/>
      <c r="H169" s="6">
        <f t="shared" si="18"/>
        <v>0</v>
      </c>
      <c r="I169" s="16"/>
      <c r="J169" s="6"/>
      <c r="K169" s="16"/>
      <c r="L169" s="6"/>
      <c r="M169" s="109">
        <f t="shared" si="22"/>
        <v>0</v>
      </c>
    </row>
    <row r="170" spans="1:13">
      <c r="A170" s="278">
        <v>47</v>
      </c>
      <c r="B170" s="111" t="s">
        <v>272</v>
      </c>
      <c r="C170" s="111"/>
      <c r="D170" s="112" t="s">
        <v>135</v>
      </c>
      <c r="E170" s="112"/>
      <c r="F170" s="114">
        <v>2</v>
      </c>
      <c r="G170" s="16"/>
      <c r="H170" s="6"/>
      <c r="I170" s="109"/>
      <c r="J170" s="6"/>
      <c r="K170" s="109"/>
      <c r="L170" s="6"/>
      <c r="M170" s="109">
        <f t="shared" si="22"/>
        <v>0</v>
      </c>
    </row>
    <row r="171" spans="1:13">
      <c r="A171" s="279"/>
      <c r="B171" s="9" t="s">
        <v>137</v>
      </c>
      <c r="C171" s="9"/>
      <c r="D171" s="7" t="s">
        <v>138</v>
      </c>
      <c r="E171" s="28">
        <v>1</v>
      </c>
      <c r="F171" s="28">
        <f>F170*E171</f>
        <v>2</v>
      </c>
      <c r="G171" s="16"/>
      <c r="H171" s="6"/>
      <c r="I171" s="109"/>
      <c r="J171" s="6">
        <f t="shared" si="19"/>
        <v>0</v>
      </c>
      <c r="K171" s="28"/>
      <c r="L171" s="6"/>
      <c r="M171" s="109">
        <f t="shared" si="22"/>
        <v>0</v>
      </c>
    </row>
    <row r="172" spans="1:13">
      <c r="A172" s="279"/>
      <c r="B172" s="113" t="s">
        <v>139</v>
      </c>
      <c r="C172" s="113"/>
      <c r="D172" s="173" t="s">
        <v>12</v>
      </c>
      <c r="E172" s="16">
        <v>0.16</v>
      </c>
      <c r="F172" s="16">
        <f>F170*E172</f>
        <v>0.32</v>
      </c>
      <c r="G172" s="16"/>
      <c r="H172" s="6"/>
      <c r="I172" s="16"/>
      <c r="J172" s="6"/>
      <c r="K172" s="16"/>
      <c r="L172" s="6">
        <f t="shared" si="20"/>
        <v>0</v>
      </c>
      <c r="M172" s="109">
        <f t="shared" si="22"/>
        <v>0</v>
      </c>
    </row>
    <row r="173" spans="1:13">
      <c r="A173" s="279"/>
      <c r="B173" s="113" t="s">
        <v>179</v>
      </c>
      <c r="C173" s="113"/>
      <c r="D173" s="173" t="s">
        <v>138</v>
      </c>
      <c r="E173" s="16">
        <v>1</v>
      </c>
      <c r="F173" s="16">
        <f>F170*E173</f>
        <v>2</v>
      </c>
      <c r="G173" s="16"/>
      <c r="H173" s="6">
        <f t="shared" si="18"/>
        <v>0</v>
      </c>
      <c r="I173" s="16"/>
      <c r="J173" s="6"/>
      <c r="K173" s="16"/>
      <c r="L173" s="6"/>
      <c r="M173" s="109">
        <f t="shared" si="22"/>
        <v>0</v>
      </c>
    </row>
    <row r="174" spans="1:13">
      <c r="A174" s="280"/>
      <c r="B174" s="113" t="s">
        <v>11</v>
      </c>
      <c r="C174" s="113"/>
      <c r="D174" s="173" t="s">
        <v>12</v>
      </c>
      <c r="E174" s="16">
        <v>0.47</v>
      </c>
      <c r="F174" s="16">
        <f>F170*E174</f>
        <v>0.94</v>
      </c>
      <c r="G174" s="16"/>
      <c r="H174" s="6">
        <f t="shared" si="18"/>
        <v>0</v>
      </c>
      <c r="I174" s="16"/>
      <c r="J174" s="6"/>
      <c r="K174" s="16"/>
      <c r="L174" s="6"/>
      <c r="M174" s="109">
        <f t="shared" si="22"/>
        <v>0</v>
      </c>
    </row>
    <row r="175" spans="1:13">
      <c r="A175" s="278">
        <v>48</v>
      </c>
      <c r="B175" s="111" t="s">
        <v>273</v>
      </c>
      <c r="C175" s="111"/>
      <c r="D175" s="112" t="s">
        <v>143</v>
      </c>
      <c r="E175" s="112"/>
      <c r="F175" s="114">
        <v>32</v>
      </c>
      <c r="G175" s="16"/>
      <c r="H175" s="6"/>
      <c r="I175" s="109"/>
      <c r="J175" s="6"/>
      <c r="K175" s="109"/>
      <c r="L175" s="6"/>
      <c r="M175" s="109"/>
    </row>
    <row r="176" spans="1:13">
      <c r="A176" s="279"/>
      <c r="B176" s="9" t="s">
        <v>137</v>
      </c>
      <c r="C176" s="9"/>
      <c r="D176" s="7" t="s">
        <v>138</v>
      </c>
      <c r="E176" s="28">
        <v>1</v>
      </c>
      <c r="F176" s="28">
        <f>F175*E176</f>
        <v>32</v>
      </c>
      <c r="G176" s="16"/>
      <c r="H176" s="6"/>
      <c r="I176" s="109"/>
      <c r="J176" s="6">
        <f t="shared" si="19"/>
        <v>0</v>
      </c>
      <c r="K176" s="28"/>
      <c r="L176" s="6"/>
      <c r="M176" s="109">
        <f t="shared" si="22"/>
        <v>0</v>
      </c>
    </row>
    <row r="177" spans="1:13">
      <c r="A177" s="279"/>
      <c r="B177" s="113" t="s">
        <v>139</v>
      </c>
      <c r="C177" s="113"/>
      <c r="D177" s="173" t="s">
        <v>12</v>
      </c>
      <c r="E177" s="139">
        <v>2.0999999999999999E-3</v>
      </c>
      <c r="F177" s="16">
        <f>F175*E177</f>
        <v>6.7199999999999996E-2</v>
      </c>
      <c r="G177" s="16"/>
      <c r="H177" s="6"/>
      <c r="I177" s="16"/>
      <c r="J177" s="6"/>
      <c r="K177" s="16"/>
      <c r="L177" s="6">
        <f t="shared" si="20"/>
        <v>0</v>
      </c>
      <c r="M177" s="109">
        <f t="shared" si="22"/>
        <v>0</v>
      </c>
    </row>
    <row r="178" spans="1:13">
      <c r="A178" s="279"/>
      <c r="B178" s="113" t="s">
        <v>180</v>
      </c>
      <c r="C178" s="113"/>
      <c r="D178" s="173" t="s">
        <v>138</v>
      </c>
      <c r="E178" s="16">
        <v>1</v>
      </c>
      <c r="F178" s="16">
        <f>F175*E178</f>
        <v>32</v>
      </c>
      <c r="G178" s="16"/>
      <c r="H178" s="6">
        <f t="shared" si="18"/>
        <v>0</v>
      </c>
      <c r="I178" s="16"/>
      <c r="J178" s="6"/>
      <c r="K178" s="16"/>
      <c r="L178" s="6"/>
      <c r="M178" s="109">
        <f t="shared" si="22"/>
        <v>0</v>
      </c>
    </row>
    <row r="179" spans="1:13">
      <c r="A179" s="280"/>
      <c r="B179" s="113" t="s">
        <v>11</v>
      </c>
      <c r="C179" s="113"/>
      <c r="D179" s="173" t="s">
        <v>12</v>
      </c>
      <c r="E179" s="125">
        <v>0.156</v>
      </c>
      <c r="F179" s="16">
        <f>F175*E179</f>
        <v>4.992</v>
      </c>
      <c r="G179" s="16"/>
      <c r="H179" s="6">
        <f t="shared" si="18"/>
        <v>0</v>
      </c>
      <c r="I179" s="16"/>
      <c r="J179" s="6"/>
      <c r="K179" s="16"/>
      <c r="L179" s="6"/>
      <c r="M179" s="109">
        <f t="shared" si="22"/>
        <v>0</v>
      </c>
    </row>
    <row r="180" spans="1:13">
      <c r="A180" s="289">
        <v>49</v>
      </c>
      <c r="B180" s="111" t="s">
        <v>274</v>
      </c>
      <c r="C180" s="111"/>
      <c r="D180" s="112" t="s">
        <v>143</v>
      </c>
      <c r="E180" s="112"/>
      <c r="F180" s="114">
        <v>8</v>
      </c>
      <c r="G180" s="16"/>
      <c r="H180" s="6"/>
      <c r="I180" s="109"/>
      <c r="J180" s="6"/>
      <c r="K180" s="109"/>
      <c r="L180" s="6"/>
      <c r="M180" s="109"/>
    </row>
    <row r="181" spans="1:13">
      <c r="A181" s="290"/>
      <c r="B181" s="9" t="s">
        <v>137</v>
      </c>
      <c r="C181" s="9"/>
      <c r="D181" s="7" t="s">
        <v>138</v>
      </c>
      <c r="E181" s="28">
        <v>1</v>
      </c>
      <c r="F181" s="28">
        <f>F180*E181</f>
        <v>8</v>
      </c>
      <c r="G181" s="16"/>
      <c r="H181" s="6"/>
      <c r="I181" s="109"/>
      <c r="J181" s="6">
        <f t="shared" si="19"/>
        <v>0</v>
      </c>
      <c r="K181" s="28"/>
      <c r="L181" s="6"/>
      <c r="M181" s="109">
        <f t="shared" si="22"/>
        <v>0</v>
      </c>
    </row>
    <row r="182" spans="1:13">
      <c r="A182" s="290"/>
      <c r="B182" s="113" t="s">
        <v>139</v>
      </c>
      <c r="C182" s="113"/>
      <c r="D182" s="173" t="s">
        <v>12</v>
      </c>
      <c r="E182" s="125">
        <v>9.1999999999999998E-2</v>
      </c>
      <c r="F182" s="16">
        <f>F180*E182</f>
        <v>0.73599999999999999</v>
      </c>
      <c r="G182" s="16"/>
      <c r="H182" s="6"/>
      <c r="I182" s="16"/>
      <c r="J182" s="6"/>
      <c r="K182" s="16"/>
      <c r="L182" s="6">
        <f t="shared" si="20"/>
        <v>0</v>
      </c>
      <c r="M182" s="109">
        <f t="shared" si="22"/>
        <v>0</v>
      </c>
    </row>
    <row r="183" spans="1:13">
      <c r="A183" s="290"/>
      <c r="B183" s="113" t="s">
        <v>181</v>
      </c>
      <c r="C183" s="113"/>
      <c r="D183" s="173" t="s">
        <v>138</v>
      </c>
      <c r="E183" s="16">
        <v>1.01</v>
      </c>
      <c r="F183" s="16">
        <f>F180*E183</f>
        <v>8.08</v>
      </c>
      <c r="G183" s="16"/>
      <c r="H183" s="6">
        <f t="shared" si="18"/>
        <v>0</v>
      </c>
      <c r="I183" s="16"/>
      <c r="J183" s="6"/>
      <c r="K183" s="16"/>
      <c r="L183" s="6"/>
      <c r="M183" s="109">
        <f t="shared" si="22"/>
        <v>0</v>
      </c>
    </row>
    <row r="184" spans="1:13">
      <c r="A184" s="291"/>
      <c r="B184" s="113" t="s">
        <v>11</v>
      </c>
      <c r="C184" s="113"/>
      <c r="D184" s="173" t="s">
        <v>12</v>
      </c>
      <c r="E184" s="125">
        <v>0.20799999999999999</v>
      </c>
      <c r="F184" s="16">
        <f>F180*E184</f>
        <v>1.6639999999999999</v>
      </c>
      <c r="G184" s="16"/>
      <c r="H184" s="6">
        <f t="shared" si="18"/>
        <v>0</v>
      </c>
      <c r="I184" s="16"/>
      <c r="J184" s="6"/>
      <c r="K184" s="16"/>
      <c r="L184" s="6"/>
      <c r="M184" s="109">
        <f t="shared" si="22"/>
        <v>0</v>
      </c>
    </row>
    <row r="185" spans="1:13">
      <c r="A185" s="275">
        <v>50</v>
      </c>
      <c r="B185" s="140" t="s">
        <v>182</v>
      </c>
      <c r="C185" s="140"/>
      <c r="D185" s="174" t="s">
        <v>135</v>
      </c>
      <c r="E185" s="141"/>
      <c r="F185" s="114">
        <f>F188+F189+F190+F191+F192+F193</f>
        <v>28</v>
      </c>
      <c r="G185" s="16"/>
      <c r="H185" s="6"/>
      <c r="I185" s="16"/>
      <c r="J185" s="6"/>
      <c r="K185" s="16"/>
      <c r="L185" s="6"/>
      <c r="M185" s="109"/>
    </row>
    <row r="186" spans="1:13">
      <c r="A186" s="276"/>
      <c r="B186" s="9" t="s">
        <v>137</v>
      </c>
      <c r="C186" s="9"/>
      <c r="D186" s="7" t="s">
        <v>138</v>
      </c>
      <c r="E186" s="28">
        <v>1</v>
      </c>
      <c r="F186" s="28">
        <f>F185*E186</f>
        <v>28</v>
      </c>
      <c r="G186" s="16"/>
      <c r="H186" s="6"/>
      <c r="I186" s="109"/>
      <c r="J186" s="6">
        <f t="shared" si="19"/>
        <v>0</v>
      </c>
      <c r="K186" s="28"/>
      <c r="L186" s="6"/>
      <c r="M186" s="109">
        <f t="shared" si="22"/>
        <v>0</v>
      </c>
    </row>
    <row r="187" spans="1:13">
      <c r="A187" s="276"/>
      <c r="B187" s="113" t="s">
        <v>139</v>
      </c>
      <c r="C187" s="113"/>
      <c r="D187" s="173" t="s">
        <v>12</v>
      </c>
      <c r="E187" s="139">
        <v>0.151</v>
      </c>
      <c r="F187" s="16">
        <f>F185*E187</f>
        <v>4.2279999999999998</v>
      </c>
      <c r="G187" s="16"/>
      <c r="H187" s="6"/>
      <c r="I187" s="16"/>
      <c r="J187" s="6"/>
      <c r="K187" s="16"/>
      <c r="L187" s="6">
        <f t="shared" si="20"/>
        <v>0</v>
      </c>
      <c r="M187" s="109">
        <f t="shared" si="22"/>
        <v>0</v>
      </c>
    </row>
    <row r="188" spans="1:13">
      <c r="A188" s="276"/>
      <c r="B188" s="113" t="s">
        <v>183</v>
      </c>
      <c r="C188" s="113"/>
      <c r="D188" s="173" t="s">
        <v>135</v>
      </c>
      <c r="E188" s="104"/>
      <c r="F188" s="16">
        <v>2</v>
      </c>
      <c r="G188" s="71"/>
      <c r="H188" s="6">
        <f t="shared" si="18"/>
        <v>0</v>
      </c>
      <c r="I188" s="71"/>
      <c r="J188" s="6"/>
      <c r="K188" s="71"/>
      <c r="L188" s="6"/>
      <c r="M188" s="109">
        <f t="shared" si="22"/>
        <v>0</v>
      </c>
    </row>
    <row r="189" spans="1:13">
      <c r="A189" s="276"/>
      <c r="B189" s="113" t="s">
        <v>184</v>
      </c>
      <c r="C189" s="113"/>
      <c r="D189" s="173" t="s">
        <v>135</v>
      </c>
      <c r="E189" s="104"/>
      <c r="F189" s="16">
        <v>18</v>
      </c>
      <c r="G189" s="71"/>
      <c r="H189" s="6">
        <f t="shared" si="18"/>
        <v>0</v>
      </c>
      <c r="I189" s="71"/>
      <c r="J189" s="6"/>
      <c r="K189" s="71"/>
      <c r="L189" s="6"/>
      <c r="M189" s="109">
        <f t="shared" si="22"/>
        <v>0</v>
      </c>
    </row>
    <row r="190" spans="1:13">
      <c r="A190" s="276"/>
      <c r="B190" s="113" t="s">
        <v>275</v>
      </c>
      <c r="C190" s="113"/>
      <c r="D190" s="173" t="s">
        <v>135</v>
      </c>
      <c r="E190" s="104"/>
      <c r="F190" s="16">
        <v>2</v>
      </c>
      <c r="G190" s="71"/>
      <c r="H190" s="6">
        <f t="shared" si="18"/>
        <v>0</v>
      </c>
      <c r="I190" s="71"/>
      <c r="J190" s="6"/>
      <c r="K190" s="71"/>
      <c r="L190" s="6"/>
      <c r="M190" s="109">
        <f t="shared" si="22"/>
        <v>0</v>
      </c>
    </row>
    <row r="191" spans="1:13">
      <c r="A191" s="276"/>
      <c r="B191" s="113" t="s">
        <v>276</v>
      </c>
      <c r="C191" s="113"/>
      <c r="D191" s="173" t="s">
        <v>135</v>
      </c>
      <c r="E191" s="104"/>
      <c r="F191" s="16">
        <v>2</v>
      </c>
      <c r="G191" s="71"/>
      <c r="H191" s="6">
        <f t="shared" si="18"/>
        <v>0</v>
      </c>
      <c r="I191" s="71"/>
      <c r="J191" s="6"/>
      <c r="K191" s="71"/>
      <c r="L191" s="6"/>
      <c r="M191" s="109">
        <f t="shared" si="22"/>
        <v>0</v>
      </c>
    </row>
    <row r="192" spans="1:13">
      <c r="A192" s="276"/>
      <c r="B192" s="113" t="s">
        <v>185</v>
      </c>
      <c r="C192" s="113"/>
      <c r="D192" s="173" t="s">
        <v>135</v>
      </c>
      <c r="E192" s="104"/>
      <c r="F192" s="16">
        <v>2</v>
      </c>
      <c r="G192" s="71"/>
      <c r="H192" s="6">
        <f t="shared" si="18"/>
        <v>0</v>
      </c>
      <c r="I192" s="71"/>
      <c r="J192" s="6"/>
      <c r="K192" s="71"/>
      <c r="L192" s="6"/>
      <c r="M192" s="109">
        <f t="shared" si="22"/>
        <v>0</v>
      </c>
    </row>
    <row r="193" spans="1:13">
      <c r="A193" s="276"/>
      <c r="B193" s="113" t="s">
        <v>186</v>
      </c>
      <c r="C193" s="113"/>
      <c r="D193" s="173" t="s">
        <v>135</v>
      </c>
      <c r="E193" s="104"/>
      <c r="F193" s="16">
        <v>2</v>
      </c>
      <c r="G193" s="71"/>
      <c r="H193" s="6">
        <f t="shared" si="18"/>
        <v>0</v>
      </c>
      <c r="I193" s="71"/>
      <c r="J193" s="6"/>
      <c r="K193" s="71"/>
      <c r="L193" s="6"/>
      <c r="M193" s="109">
        <f t="shared" si="22"/>
        <v>0</v>
      </c>
    </row>
    <row r="194" spans="1:13">
      <c r="A194" s="276"/>
      <c r="B194" s="113" t="s">
        <v>187</v>
      </c>
      <c r="C194" s="113"/>
      <c r="D194" s="173" t="s">
        <v>135</v>
      </c>
      <c r="E194" s="104"/>
      <c r="F194" s="16">
        <v>4</v>
      </c>
      <c r="G194" s="71"/>
      <c r="H194" s="6">
        <f t="shared" si="18"/>
        <v>0</v>
      </c>
      <c r="I194" s="71"/>
      <c r="J194" s="6"/>
      <c r="K194" s="71"/>
      <c r="L194" s="6"/>
      <c r="M194" s="109">
        <f t="shared" si="22"/>
        <v>0</v>
      </c>
    </row>
    <row r="195" spans="1:13">
      <c r="A195" s="276"/>
      <c r="B195" s="113" t="s">
        <v>188</v>
      </c>
      <c r="C195" s="113"/>
      <c r="D195" s="173" t="s">
        <v>135</v>
      </c>
      <c r="E195" s="104"/>
      <c r="F195" s="16">
        <v>18</v>
      </c>
      <c r="G195" s="71"/>
      <c r="H195" s="6">
        <f t="shared" si="18"/>
        <v>0</v>
      </c>
      <c r="I195" s="71"/>
      <c r="J195" s="6"/>
      <c r="K195" s="71"/>
      <c r="L195" s="6"/>
      <c r="M195" s="109">
        <f t="shared" si="22"/>
        <v>0</v>
      </c>
    </row>
    <row r="196" spans="1:13">
      <c r="A196" s="277"/>
      <c r="B196" s="113" t="s">
        <v>11</v>
      </c>
      <c r="C196" s="113"/>
      <c r="D196" s="173" t="s">
        <v>12</v>
      </c>
      <c r="E196" s="125"/>
      <c r="F196" s="16">
        <f>(H188+H189+H190+H191+H192+H193+H194+H195)*0.2/4</f>
        <v>0</v>
      </c>
      <c r="G196" s="16"/>
      <c r="H196" s="6">
        <f t="shared" si="18"/>
        <v>0</v>
      </c>
      <c r="I196" s="16"/>
      <c r="J196" s="6"/>
      <c r="K196" s="16"/>
      <c r="L196" s="6"/>
      <c r="M196" s="109">
        <f t="shared" si="22"/>
        <v>0</v>
      </c>
    </row>
    <row r="197" spans="1:13" ht="27">
      <c r="A197" s="278">
        <v>51</v>
      </c>
      <c r="B197" s="111" t="s">
        <v>189</v>
      </c>
      <c r="C197" s="111"/>
      <c r="D197" s="112" t="s">
        <v>204</v>
      </c>
      <c r="E197" s="112"/>
      <c r="F197" s="114">
        <v>28</v>
      </c>
      <c r="G197" s="16"/>
      <c r="H197" s="6"/>
      <c r="I197" s="109"/>
      <c r="J197" s="6"/>
      <c r="K197" s="109"/>
      <c r="L197" s="6"/>
      <c r="M197" s="109"/>
    </row>
    <row r="198" spans="1:13">
      <c r="A198" s="279"/>
      <c r="B198" s="9" t="s">
        <v>137</v>
      </c>
      <c r="C198" s="9"/>
      <c r="D198" s="7" t="s">
        <v>138</v>
      </c>
      <c r="E198" s="28">
        <v>1</v>
      </c>
      <c r="F198" s="28">
        <f>F197*E198</f>
        <v>28</v>
      </c>
      <c r="G198" s="16"/>
      <c r="H198" s="6"/>
      <c r="I198" s="109"/>
      <c r="J198" s="6">
        <f t="shared" si="19"/>
        <v>0</v>
      </c>
      <c r="K198" s="28"/>
      <c r="L198" s="6"/>
      <c r="M198" s="109">
        <f t="shared" si="22"/>
        <v>0</v>
      </c>
    </row>
    <row r="199" spans="1:13">
      <c r="A199" s="279"/>
      <c r="B199" s="113" t="s">
        <v>139</v>
      </c>
      <c r="C199" s="113"/>
      <c r="D199" s="4" t="s">
        <v>277</v>
      </c>
      <c r="E199" s="142">
        <v>2.5700000000000001E-2</v>
      </c>
      <c r="F199" s="6">
        <f>E199*F197</f>
        <v>0.71960000000000002</v>
      </c>
      <c r="G199" s="28"/>
      <c r="H199" s="6"/>
      <c r="I199" s="28"/>
      <c r="J199" s="6"/>
      <c r="K199" s="28"/>
      <c r="L199" s="6">
        <f t="shared" si="20"/>
        <v>0</v>
      </c>
      <c r="M199" s="109">
        <f t="shared" si="22"/>
        <v>0</v>
      </c>
    </row>
    <row r="200" spans="1:13">
      <c r="A200" s="279"/>
      <c r="B200" s="113" t="s">
        <v>190</v>
      </c>
      <c r="C200" s="113"/>
      <c r="D200" s="4" t="s">
        <v>10</v>
      </c>
      <c r="E200" s="123">
        <v>1</v>
      </c>
      <c r="F200" s="6">
        <f>F197</f>
        <v>28</v>
      </c>
      <c r="G200" s="28"/>
      <c r="H200" s="6">
        <f t="shared" si="18"/>
        <v>0</v>
      </c>
      <c r="I200" s="28"/>
      <c r="J200" s="6"/>
      <c r="K200" s="28"/>
      <c r="L200" s="6"/>
      <c r="M200" s="109">
        <f t="shared" si="22"/>
        <v>0</v>
      </c>
    </row>
    <row r="201" spans="1:13">
      <c r="A201" s="280"/>
      <c r="B201" s="113" t="s">
        <v>11</v>
      </c>
      <c r="C201" s="113"/>
      <c r="D201" s="4" t="s">
        <v>277</v>
      </c>
      <c r="E201" s="144">
        <v>4.5699999999999998E-2</v>
      </c>
      <c r="F201" s="6">
        <f>E201*F197</f>
        <v>1.2795999999999998</v>
      </c>
      <c r="G201" s="28"/>
      <c r="H201" s="6">
        <f t="shared" si="18"/>
        <v>0</v>
      </c>
      <c r="I201" s="28"/>
      <c r="J201" s="6"/>
      <c r="K201" s="28"/>
      <c r="L201" s="6"/>
      <c r="M201" s="109">
        <f t="shared" si="22"/>
        <v>0</v>
      </c>
    </row>
    <row r="202" spans="1:13" ht="27">
      <c r="A202" s="278">
        <v>52</v>
      </c>
      <c r="B202" s="111" t="s">
        <v>191</v>
      </c>
      <c r="C202" s="111"/>
      <c r="D202" s="164" t="s">
        <v>143</v>
      </c>
      <c r="E202" s="128"/>
      <c r="F202" s="128">
        <v>14</v>
      </c>
      <c r="G202" s="28"/>
      <c r="H202" s="6"/>
      <c r="I202" s="28"/>
      <c r="J202" s="6"/>
      <c r="K202" s="28"/>
      <c r="L202" s="6"/>
      <c r="M202" s="109"/>
    </row>
    <row r="203" spans="1:13">
      <c r="A203" s="279"/>
      <c r="B203" s="9" t="s">
        <v>137</v>
      </c>
      <c r="C203" s="9"/>
      <c r="D203" s="7" t="s">
        <v>138</v>
      </c>
      <c r="E203" s="28">
        <v>1</v>
      </c>
      <c r="F203" s="28">
        <f>F202*E203</f>
        <v>14</v>
      </c>
      <c r="G203" s="16"/>
      <c r="H203" s="6"/>
      <c r="I203" s="109"/>
      <c r="J203" s="6">
        <f t="shared" si="19"/>
        <v>0</v>
      </c>
      <c r="K203" s="28"/>
      <c r="L203" s="6"/>
      <c r="M203" s="109">
        <f t="shared" si="22"/>
        <v>0</v>
      </c>
    </row>
    <row r="204" spans="1:13">
      <c r="A204" s="279"/>
      <c r="B204" s="113" t="s">
        <v>139</v>
      </c>
      <c r="C204" s="113"/>
      <c r="D204" s="4" t="s">
        <v>277</v>
      </c>
      <c r="E204" s="142">
        <v>1.72E-2</v>
      </c>
      <c r="F204" s="6">
        <f>E204*F202</f>
        <v>0.24080000000000001</v>
      </c>
      <c r="G204" s="28"/>
      <c r="H204" s="6"/>
      <c r="I204" s="28"/>
      <c r="J204" s="6"/>
      <c r="K204" s="28"/>
      <c r="L204" s="6">
        <f t="shared" si="20"/>
        <v>0</v>
      </c>
      <c r="M204" s="109">
        <f t="shared" si="22"/>
        <v>0</v>
      </c>
    </row>
    <row r="205" spans="1:13">
      <c r="A205" s="279"/>
      <c r="B205" s="113" t="s">
        <v>192</v>
      </c>
      <c r="C205" s="113"/>
      <c r="D205" s="4" t="s">
        <v>143</v>
      </c>
      <c r="E205" s="123">
        <v>1</v>
      </c>
      <c r="F205" s="6">
        <f>F202</f>
        <v>14</v>
      </c>
      <c r="G205" s="28"/>
      <c r="H205" s="6">
        <f t="shared" si="18"/>
        <v>0</v>
      </c>
      <c r="I205" s="28"/>
      <c r="J205" s="6"/>
      <c r="K205" s="28"/>
      <c r="L205" s="6"/>
      <c r="M205" s="109">
        <f t="shared" si="22"/>
        <v>0</v>
      </c>
    </row>
    <row r="206" spans="1:13">
      <c r="A206" s="280"/>
      <c r="B206" s="113" t="s">
        <v>11</v>
      </c>
      <c r="C206" s="113"/>
      <c r="D206" s="4" t="s">
        <v>277</v>
      </c>
      <c r="E206" s="142">
        <v>3.9300000000000002E-2</v>
      </c>
      <c r="F206" s="6">
        <f>E206*F202</f>
        <v>0.55020000000000002</v>
      </c>
      <c r="G206" s="28"/>
      <c r="H206" s="6">
        <f t="shared" si="18"/>
        <v>0</v>
      </c>
      <c r="I206" s="28"/>
      <c r="J206" s="6"/>
      <c r="K206" s="28"/>
      <c r="L206" s="6"/>
      <c r="M206" s="109">
        <f t="shared" si="22"/>
        <v>0</v>
      </c>
    </row>
    <row r="207" spans="1:13">
      <c r="A207" s="175"/>
      <c r="B207" s="164" t="s">
        <v>182</v>
      </c>
      <c r="C207" s="164"/>
      <c r="D207" s="97"/>
      <c r="E207" s="97"/>
      <c r="F207" s="16"/>
      <c r="G207" s="16"/>
      <c r="H207" s="6"/>
      <c r="I207" s="109"/>
      <c r="J207" s="6"/>
      <c r="K207" s="109"/>
      <c r="L207" s="6"/>
      <c r="M207" s="109"/>
    </row>
    <row r="208" spans="1:13">
      <c r="A208" s="281"/>
      <c r="B208" s="113" t="s">
        <v>193</v>
      </c>
      <c r="C208" s="113"/>
      <c r="D208" s="4" t="s">
        <v>135</v>
      </c>
      <c r="E208" s="123"/>
      <c r="F208" s="6">
        <v>6</v>
      </c>
      <c r="G208" s="6"/>
      <c r="H208" s="6">
        <f t="shared" si="18"/>
        <v>0</v>
      </c>
      <c r="I208" s="6"/>
      <c r="J208" s="6"/>
      <c r="K208" s="28"/>
      <c r="L208" s="6"/>
      <c r="M208" s="109">
        <f t="shared" si="22"/>
        <v>0</v>
      </c>
    </row>
    <row r="209" spans="1:13">
      <c r="A209" s="282"/>
      <c r="B209" s="113" t="s">
        <v>194</v>
      </c>
      <c r="C209" s="113"/>
      <c r="D209" s="4" t="s">
        <v>135</v>
      </c>
      <c r="E209" s="123"/>
      <c r="F209" s="6">
        <v>7</v>
      </c>
      <c r="G209" s="6"/>
      <c r="H209" s="6">
        <f t="shared" si="18"/>
        <v>0</v>
      </c>
      <c r="I209" s="6"/>
      <c r="J209" s="6"/>
      <c r="K209" s="28"/>
      <c r="L209" s="6"/>
      <c r="M209" s="109">
        <f t="shared" si="22"/>
        <v>0</v>
      </c>
    </row>
    <row r="210" spans="1:13">
      <c r="A210" s="282"/>
      <c r="B210" s="113" t="s">
        <v>195</v>
      </c>
      <c r="C210" s="113"/>
      <c r="D210" s="4" t="s">
        <v>135</v>
      </c>
      <c r="E210" s="123"/>
      <c r="F210" s="6">
        <v>14</v>
      </c>
      <c r="G210" s="6"/>
      <c r="H210" s="6">
        <f t="shared" si="18"/>
        <v>0</v>
      </c>
      <c r="I210" s="6"/>
      <c r="J210" s="6"/>
      <c r="K210" s="28"/>
      <c r="L210" s="6"/>
      <c r="M210" s="109">
        <f t="shared" si="22"/>
        <v>0</v>
      </c>
    </row>
    <row r="211" spans="1:13">
      <c r="A211" s="282"/>
      <c r="B211" s="113" t="s">
        <v>196</v>
      </c>
      <c r="C211" s="113"/>
      <c r="D211" s="4" t="s">
        <v>135</v>
      </c>
      <c r="E211" s="123"/>
      <c r="F211" s="6">
        <v>14</v>
      </c>
      <c r="G211" s="6"/>
      <c r="H211" s="6">
        <f t="shared" si="18"/>
        <v>0</v>
      </c>
      <c r="I211" s="6"/>
      <c r="J211" s="6"/>
      <c r="K211" s="28"/>
      <c r="L211" s="6"/>
      <c r="M211" s="109">
        <f t="shared" si="22"/>
        <v>0</v>
      </c>
    </row>
    <row r="212" spans="1:13">
      <c r="A212" s="282"/>
      <c r="B212" s="113" t="s">
        <v>197</v>
      </c>
      <c r="C212" s="113"/>
      <c r="D212" s="4" t="s">
        <v>135</v>
      </c>
      <c r="E212" s="123"/>
      <c r="F212" s="6">
        <v>28</v>
      </c>
      <c r="G212" s="28"/>
      <c r="H212" s="6">
        <f t="shared" si="18"/>
        <v>0</v>
      </c>
      <c r="I212" s="28"/>
      <c r="J212" s="6"/>
      <c r="K212" s="28"/>
      <c r="L212" s="6"/>
      <c r="M212" s="109">
        <f t="shared" si="22"/>
        <v>0</v>
      </c>
    </row>
    <row r="213" spans="1:13">
      <c r="A213" s="282"/>
      <c r="B213" s="113" t="s">
        <v>198</v>
      </c>
      <c r="C213" s="113"/>
      <c r="D213" s="4" t="s">
        <v>135</v>
      </c>
      <c r="E213" s="123"/>
      <c r="F213" s="6">
        <v>14</v>
      </c>
      <c r="G213" s="28"/>
      <c r="H213" s="6">
        <f t="shared" ref="H213:H239" si="23">G213*F213</f>
        <v>0</v>
      </c>
      <c r="I213" s="28"/>
      <c r="J213" s="6"/>
      <c r="K213" s="28"/>
      <c r="L213" s="6"/>
      <c r="M213" s="109">
        <f t="shared" si="22"/>
        <v>0</v>
      </c>
    </row>
    <row r="214" spans="1:13">
      <c r="A214" s="282"/>
      <c r="B214" s="113" t="s">
        <v>199</v>
      </c>
      <c r="C214" s="113"/>
      <c r="D214" s="4" t="s">
        <v>135</v>
      </c>
      <c r="E214" s="143"/>
      <c r="F214" s="28">
        <v>2</v>
      </c>
      <c r="G214" s="28"/>
      <c r="H214" s="6">
        <f t="shared" si="23"/>
        <v>0</v>
      </c>
      <c r="I214" s="28"/>
      <c r="J214" s="6">
        <f t="shared" ref="J214:J236" si="24">I214*F214</f>
        <v>0</v>
      </c>
      <c r="K214" s="28"/>
      <c r="L214" s="6">
        <f t="shared" ref="L214:L236" si="25">K214*F214</f>
        <v>0</v>
      </c>
      <c r="M214" s="109">
        <f t="shared" si="22"/>
        <v>0</v>
      </c>
    </row>
    <row r="215" spans="1:13">
      <c r="A215" s="283"/>
      <c r="B215" s="113" t="s">
        <v>200</v>
      </c>
      <c r="C215" s="113"/>
      <c r="D215" s="4" t="s">
        <v>135</v>
      </c>
      <c r="E215" s="143"/>
      <c r="F215" s="28">
        <v>14</v>
      </c>
      <c r="G215" s="28"/>
      <c r="H215" s="6">
        <f t="shared" si="23"/>
        <v>0</v>
      </c>
      <c r="I215" s="28"/>
      <c r="J215" s="6">
        <f t="shared" si="24"/>
        <v>0</v>
      </c>
      <c r="K215" s="28"/>
      <c r="L215" s="6">
        <f t="shared" si="25"/>
        <v>0</v>
      </c>
      <c r="M215" s="109">
        <f t="shared" si="22"/>
        <v>0</v>
      </c>
    </row>
    <row r="216" spans="1:13">
      <c r="A216" s="176"/>
      <c r="B216" s="177" t="s">
        <v>201</v>
      </c>
      <c r="C216" s="177"/>
      <c r="D216" s="24"/>
      <c r="E216" s="28"/>
      <c r="F216" s="28"/>
      <c r="G216" s="28"/>
      <c r="H216" s="6">
        <f t="shared" si="23"/>
        <v>0</v>
      </c>
      <c r="I216" s="28"/>
      <c r="J216" s="6">
        <f t="shared" si="24"/>
        <v>0</v>
      </c>
      <c r="K216" s="28"/>
      <c r="L216" s="6">
        <f t="shared" si="25"/>
        <v>0</v>
      </c>
      <c r="M216" s="109">
        <f t="shared" si="22"/>
        <v>0</v>
      </c>
    </row>
    <row r="217" spans="1:13" ht="95.4" customHeight="1">
      <c r="A217" s="163">
        <v>53</v>
      </c>
      <c r="B217" s="146" t="s">
        <v>278</v>
      </c>
      <c r="C217" s="146"/>
      <c r="D217" s="97" t="s">
        <v>135</v>
      </c>
      <c r="E217" s="108"/>
      <c r="F217" s="91">
        <v>93</v>
      </c>
      <c r="G217" s="91"/>
      <c r="H217" s="6">
        <f t="shared" si="23"/>
        <v>0</v>
      </c>
      <c r="I217" s="91"/>
      <c r="J217" s="6">
        <f t="shared" si="24"/>
        <v>0</v>
      </c>
      <c r="K217" s="91"/>
      <c r="L217" s="6">
        <f t="shared" si="25"/>
        <v>0</v>
      </c>
      <c r="M217" s="109">
        <f t="shared" si="22"/>
        <v>0</v>
      </c>
    </row>
    <row r="218" spans="1:13" ht="106.75" customHeight="1">
      <c r="A218" s="163">
        <v>54</v>
      </c>
      <c r="B218" s="146" t="s">
        <v>279</v>
      </c>
      <c r="C218" s="146"/>
      <c r="D218" s="97" t="s">
        <v>135</v>
      </c>
      <c r="E218" s="108"/>
      <c r="F218" s="91">
        <v>2</v>
      </c>
      <c r="G218" s="91"/>
      <c r="H218" s="6">
        <f t="shared" si="23"/>
        <v>0</v>
      </c>
      <c r="I218" s="91"/>
      <c r="J218" s="6">
        <f t="shared" si="24"/>
        <v>0</v>
      </c>
      <c r="K218" s="91"/>
      <c r="L218" s="6">
        <f t="shared" si="25"/>
        <v>0</v>
      </c>
      <c r="M218" s="109">
        <f t="shared" si="22"/>
        <v>0</v>
      </c>
    </row>
    <row r="219" spans="1:13">
      <c r="A219" s="163">
        <v>55</v>
      </c>
      <c r="B219" s="107" t="s">
        <v>280</v>
      </c>
      <c r="C219" s="107"/>
      <c r="D219" s="97" t="s">
        <v>135</v>
      </c>
      <c r="E219" s="108"/>
      <c r="F219" s="91">
        <v>34</v>
      </c>
      <c r="G219" s="91"/>
      <c r="H219" s="6">
        <f t="shared" si="23"/>
        <v>0</v>
      </c>
      <c r="I219" s="91"/>
      <c r="J219" s="6">
        <f t="shared" si="24"/>
        <v>0</v>
      </c>
      <c r="K219" s="91"/>
      <c r="L219" s="6"/>
      <c r="M219" s="109">
        <f t="shared" si="22"/>
        <v>0</v>
      </c>
    </row>
    <row r="220" spans="1:13">
      <c r="A220" s="163">
        <v>56</v>
      </c>
      <c r="B220" s="107" t="s">
        <v>281</v>
      </c>
      <c r="C220" s="107"/>
      <c r="D220" s="97" t="s">
        <v>135</v>
      </c>
      <c r="E220" s="108"/>
      <c r="F220" s="91">
        <v>42</v>
      </c>
      <c r="G220" s="91"/>
      <c r="H220" s="6">
        <f t="shared" si="23"/>
        <v>0</v>
      </c>
      <c r="I220" s="91"/>
      <c r="J220" s="6">
        <f t="shared" si="24"/>
        <v>0</v>
      </c>
      <c r="K220" s="91"/>
      <c r="L220" s="6"/>
      <c r="M220" s="109">
        <f t="shared" si="22"/>
        <v>0</v>
      </c>
    </row>
    <row r="221" spans="1:13">
      <c r="A221" s="163">
        <v>57</v>
      </c>
      <c r="B221" s="107" t="s">
        <v>282</v>
      </c>
      <c r="C221" s="107"/>
      <c r="D221" s="97" t="s">
        <v>135</v>
      </c>
      <c r="E221" s="108"/>
      <c r="F221" s="91">
        <v>25</v>
      </c>
      <c r="G221" s="91"/>
      <c r="H221" s="6">
        <f t="shared" si="23"/>
        <v>0</v>
      </c>
      <c r="I221" s="91"/>
      <c r="J221" s="6">
        <f t="shared" si="24"/>
        <v>0</v>
      </c>
      <c r="K221" s="91"/>
      <c r="L221" s="6"/>
      <c r="M221" s="109">
        <f t="shared" si="22"/>
        <v>0</v>
      </c>
    </row>
    <row r="222" spans="1:13">
      <c r="A222" s="163">
        <v>58</v>
      </c>
      <c r="B222" s="107" t="s">
        <v>283</v>
      </c>
      <c r="C222" s="107"/>
      <c r="D222" s="97" t="s">
        <v>135</v>
      </c>
      <c r="E222" s="108"/>
      <c r="F222" s="91">
        <v>3</v>
      </c>
      <c r="G222" s="91"/>
      <c r="H222" s="6">
        <f t="shared" si="23"/>
        <v>0</v>
      </c>
      <c r="I222" s="91"/>
      <c r="J222" s="6">
        <f t="shared" si="24"/>
        <v>0</v>
      </c>
      <c r="K222" s="91"/>
      <c r="L222" s="6"/>
      <c r="M222" s="109">
        <f t="shared" si="22"/>
        <v>0</v>
      </c>
    </row>
    <row r="223" spans="1:13" ht="27">
      <c r="A223" s="163">
        <v>59</v>
      </c>
      <c r="B223" s="107" t="s">
        <v>130</v>
      </c>
      <c r="C223" s="107"/>
      <c r="D223" s="97" t="s">
        <v>204</v>
      </c>
      <c r="E223" s="108"/>
      <c r="F223" s="91">
        <v>1200</v>
      </c>
      <c r="G223" s="91"/>
      <c r="H223" s="6">
        <f t="shared" si="23"/>
        <v>0</v>
      </c>
      <c r="I223" s="91"/>
      <c r="J223" s="6">
        <f t="shared" si="24"/>
        <v>0</v>
      </c>
      <c r="K223" s="91"/>
      <c r="L223" s="6">
        <f t="shared" si="25"/>
        <v>0</v>
      </c>
      <c r="M223" s="109">
        <f t="shared" si="22"/>
        <v>0</v>
      </c>
    </row>
    <row r="224" spans="1:13">
      <c r="A224" s="163">
        <v>60</v>
      </c>
      <c r="B224" s="107" t="s">
        <v>132</v>
      </c>
      <c r="C224" s="107"/>
      <c r="D224" s="97" t="s">
        <v>204</v>
      </c>
      <c r="E224" s="108"/>
      <c r="F224" s="91">
        <v>760</v>
      </c>
      <c r="G224" s="91"/>
      <c r="H224" s="6">
        <f t="shared" si="23"/>
        <v>0</v>
      </c>
      <c r="I224" s="91"/>
      <c r="J224" s="6">
        <f t="shared" si="24"/>
        <v>0</v>
      </c>
      <c r="K224" s="91"/>
      <c r="L224" s="6">
        <f t="shared" si="25"/>
        <v>0</v>
      </c>
      <c r="M224" s="109">
        <f t="shared" si="22"/>
        <v>0</v>
      </c>
    </row>
    <row r="225" spans="1:13">
      <c r="A225" s="163">
        <v>61</v>
      </c>
      <c r="B225" s="107" t="s">
        <v>134</v>
      </c>
      <c r="C225" s="107"/>
      <c r="D225" s="97" t="s">
        <v>135</v>
      </c>
      <c r="E225" s="108"/>
      <c r="F225" s="91">
        <v>25</v>
      </c>
      <c r="G225" s="91"/>
      <c r="H225" s="6">
        <f t="shared" si="23"/>
        <v>0</v>
      </c>
      <c r="I225" s="91"/>
      <c r="J225" s="6">
        <f t="shared" si="24"/>
        <v>0</v>
      </c>
      <c r="K225" s="91"/>
      <c r="L225" s="6"/>
      <c r="M225" s="109">
        <f t="shared" si="22"/>
        <v>0</v>
      </c>
    </row>
    <row r="226" spans="1:13" ht="27">
      <c r="A226" s="163">
        <v>62</v>
      </c>
      <c r="B226" s="107" t="s">
        <v>284</v>
      </c>
      <c r="C226" s="107"/>
      <c r="D226" s="97" t="s">
        <v>9</v>
      </c>
      <c r="E226" s="108"/>
      <c r="F226" s="91">
        <v>3</v>
      </c>
      <c r="G226" s="91"/>
      <c r="H226" s="6">
        <f t="shared" si="23"/>
        <v>0</v>
      </c>
      <c r="I226" s="91"/>
      <c r="J226" s="6">
        <f t="shared" si="24"/>
        <v>0</v>
      </c>
      <c r="K226" s="91"/>
      <c r="L226" s="6">
        <f t="shared" si="25"/>
        <v>0</v>
      </c>
      <c r="M226" s="109">
        <f t="shared" si="22"/>
        <v>0</v>
      </c>
    </row>
    <row r="227" spans="1:13">
      <c r="A227" s="163">
        <v>63</v>
      </c>
      <c r="B227" s="107" t="s">
        <v>285</v>
      </c>
      <c r="C227" s="107"/>
      <c r="D227" s="97" t="s">
        <v>204</v>
      </c>
      <c r="E227" s="108"/>
      <c r="F227" s="91">
        <v>1450</v>
      </c>
      <c r="G227" s="91"/>
      <c r="H227" s="6">
        <f t="shared" si="23"/>
        <v>0</v>
      </c>
      <c r="I227" s="91"/>
      <c r="J227" s="6"/>
      <c r="K227" s="91"/>
      <c r="L227" s="6"/>
      <c r="M227" s="109">
        <f t="shared" si="22"/>
        <v>0</v>
      </c>
    </row>
    <row r="228" spans="1:13">
      <c r="A228" s="163">
        <v>64</v>
      </c>
      <c r="B228" s="107" t="s">
        <v>172</v>
      </c>
      <c r="C228" s="107"/>
      <c r="D228" s="97" t="s">
        <v>12</v>
      </c>
      <c r="E228" s="108"/>
      <c r="F228" s="91">
        <f>SUM(F217:F227)*0.1</f>
        <v>363.70000000000005</v>
      </c>
      <c r="G228" s="91"/>
      <c r="H228" s="6">
        <f t="shared" si="23"/>
        <v>0</v>
      </c>
      <c r="I228" s="91"/>
      <c r="J228" s="6"/>
      <c r="K228" s="91"/>
      <c r="L228" s="6"/>
      <c r="M228" s="109">
        <f t="shared" si="22"/>
        <v>0</v>
      </c>
    </row>
    <row r="229" spans="1:13">
      <c r="A229" s="163"/>
      <c r="B229" s="177" t="s">
        <v>286</v>
      </c>
      <c r="C229" s="177"/>
      <c r="D229" s="97"/>
      <c r="E229" s="108"/>
      <c r="F229" s="91"/>
      <c r="G229" s="91"/>
      <c r="H229" s="6"/>
      <c r="I229" s="91"/>
      <c r="J229" s="6"/>
      <c r="K229" s="91"/>
      <c r="L229" s="6"/>
      <c r="M229" s="109"/>
    </row>
    <row r="230" spans="1:13">
      <c r="A230" s="163">
        <v>65</v>
      </c>
      <c r="B230" s="147" t="s">
        <v>202</v>
      </c>
      <c r="C230" s="147"/>
      <c r="D230" s="178" t="s">
        <v>9</v>
      </c>
      <c r="E230" s="148"/>
      <c r="F230" s="149">
        <v>44</v>
      </c>
      <c r="G230" s="149"/>
      <c r="H230" s="6">
        <f t="shared" si="23"/>
        <v>0</v>
      </c>
      <c r="I230" s="149"/>
      <c r="J230" s="6">
        <f t="shared" si="24"/>
        <v>0</v>
      </c>
      <c r="K230" s="149"/>
      <c r="L230" s="6">
        <f t="shared" si="25"/>
        <v>0</v>
      </c>
      <c r="M230" s="109">
        <f t="shared" ref="M230:M239" si="26">L230+J230+H230</f>
        <v>0</v>
      </c>
    </row>
    <row r="231" spans="1:13">
      <c r="A231" s="163">
        <v>66</v>
      </c>
      <c r="B231" s="147" t="s">
        <v>287</v>
      </c>
      <c r="C231" s="147"/>
      <c r="D231" s="178" t="s">
        <v>9</v>
      </c>
      <c r="E231" s="148"/>
      <c r="F231" s="149">
        <v>6</v>
      </c>
      <c r="G231" s="149"/>
      <c r="H231" s="6">
        <f t="shared" si="23"/>
        <v>0</v>
      </c>
      <c r="I231" s="149"/>
      <c r="J231" s="6">
        <f t="shared" si="24"/>
        <v>0</v>
      </c>
      <c r="K231" s="149"/>
      <c r="L231" s="6">
        <f t="shared" si="25"/>
        <v>0</v>
      </c>
      <c r="M231" s="109">
        <f t="shared" si="26"/>
        <v>0</v>
      </c>
    </row>
    <row r="232" spans="1:13">
      <c r="A232" s="163">
        <v>67</v>
      </c>
      <c r="B232" s="147" t="s">
        <v>288</v>
      </c>
      <c r="C232" s="147"/>
      <c r="D232" s="178" t="s">
        <v>9</v>
      </c>
      <c r="E232" s="148"/>
      <c r="F232" s="149">
        <v>6</v>
      </c>
      <c r="G232" s="149"/>
      <c r="H232" s="6">
        <f t="shared" si="23"/>
        <v>0</v>
      </c>
      <c r="I232" s="149"/>
      <c r="J232" s="6">
        <f t="shared" si="24"/>
        <v>0</v>
      </c>
      <c r="K232" s="149"/>
      <c r="L232" s="6">
        <f t="shared" si="25"/>
        <v>0</v>
      </c>
      <c r="M232" s="109">
        <f t="shared" si="26"/>
        <v>0</v>
      </c>
    </row>
    <row r="233" spans="1:13">
      <c r="A233" s="163">
        <v>68</v>
      </c>
      <c r="B233" s="179" t="s">
        <v>203</v>
      </c>
      <c r="C233" s="179"/>
      <c r="D233" s="178" t="s">
        <v>204</v>
      </c>
      <c r="E233" s="148"/>
      <c r="F233" s="149">
        <v>640</v>
      </c>
      <c r="G233" s="149"/>
      <c r="H233" s="6">
        <f t="shared" si="23"/>
        <v>0</v>
      </c>
      <c r="I233" s="149"/>
      <c r="J233" s="6">
        <f t="shared" si="24"/>
        <v>0</v>
      </c>
      <c r="K233" s="149"/>
      <c r="L233" s="6">
        <f t="shared" si="25"/>
        <v>0</v>
      </c>
      <c r="M233" s="109">
        <f t="shared" si="26"/>
        <v>0</v>
      </c>
    </row>
    <row r="234" spans="1:13" ht="27">
      <c r="A234" s="163">
        <v>69</v>
      </c>
      <c r="B234" s="179" t="s">
        <v>289</v>
      </c>
      <c r="C234" s="179"/>
      <c r="D234" s="178" t="s">
        <v>153</v>
      </c>
      <c r="E234" s="148"/>
      <c r="F234" s="149">
        <v>9</v>
      </c>
      <c r="G234" s="149"/>
      <c r="H234" s="6">
        <f t="shared" si="23"/>
        <v>0</v>
      </c>
      <c r="I234" s="149"/>
      <c r="J234" s="6">
        <f t="shared" si="24"/>
        <v>0</v>
      </c>
      <c r="K234" s="149"/>
      <c r="L234" s="6">
        <f t="shared" si="25"/>
        <v>0</v>
      </c>
      <c r="M234" s="109">
        <f t="shared" si="26"/>
        <v>0</v>
      </c>
    </row>
    <row r="235" spans="1:13" ht="40.5">
      <c r="A235" s="163">
        <v>70</v>
      </c>
      <c r="B235" s="180" t="s">
        <v>290</v>
      </c>
      <c r="C235" s="180"/>
      <c r="D235" s="95" t="s">
        <v>10</v>
      </c>
      <c r="E235" s="148"/>
      <c r="F235" s="149">
        <v>780</v>
      </c>
      <c r="G235" s="149"/>
      <c r="H235" s="6">
        <f t="shared" si="23"/>
        <v>0</v>
      </c>
      <c r="I235" s="149"/>
      <c r="J235" s="6">
        <f t="shared" si="24"/>
        <v>0</v>
      </c>
      <c r="K235" s="149"/>
      <c r="L235" s="6">
        <f t="shared" si="25"/>
        <v>0</v>
      </c>
      <c r="M235" s="109">
        <f t="shared" si="26"/>
        <v>0</v>
      </c>
    </row>
    <row r="236" spans="1:13" ht="54">
      <c r="A236" s="163">
        <v>71</v>
      </c>
      <c r="B236" s="180" t="s">
        <v>291</v>
      </c>
      <c r="C236" s="180"/>
      <c r="D236" s="95" t="s">
        <v>9</v>
      </c>
      <c r="E236" s="148"/>
      <c r="F236" s="149">
        <v>36</v>
      </c>
      <c r="G236" s="149"/>
      <c r="H236" s="6">
        <f t="shared" si="23"/>
        <v>0</v>
      </c>
      <c r="I236" s="149"/>
      <c r="J236" s="6">
        <f t="shared" si="24"/>
        <v>0</v>
      </c>
      <c r="K236" s="149"/>
      <c r="L236" s="6">
        <f t="shared" si="25"/>
        <v>0</v>
      </c>
      <c r="M236" s="109">
        <f t="shared" si="26"/>
        <v>0</v>
      </c>
    </row>
    <row r="237" spans="1:13">
      <c r="A237" s="163">
        <v>72</v>
      </c>
      <c r="B237" s="180" t="s">
        <v>292</v>
      </c>
      <c r="C237" s="180"/>
      <c r="D237" s="95" t="s">
        <v>153</v>
      </c>
      <c r="E237" s="99"/>
      <c r="F237" s="149">
        <v>890</v>
      </c>
      <c r="G237" s="149"/>
      <c r="H237" s="6">
        <f t="shared" si="23"/>
        <v>0</v>
      </c>
      <c r="I237" s="149"/>
      <c r="J237" s="6"/>
      <c r="K237" s="149"/>
      <c r="L237" s="6"/>
      <c r="M237" s="109">
        <f t="shared" si="26"/>
        <v>0</v>
      </c>
    </row>
    <row r="238" spans="1:13">
      <c r="A238" s="163">
        <v>73</v>
      </c>
      <c r="B238" s="180" t="s">
        <v>293</v>
      </c>
      <c r="C238" s="180"/>
      <c r="D238" s="95" t="s">
        <v>153</v>
      </c>
      <c r="E238" s="181"/>
      <c r="F238" s="149">
        <v>200</v>
      </c>
      <c r="G238" s="149"/>
      <c r="H238" s="6">
        <f t="shared" si="23"/>
        <v>0</v>
      </c>
      <c r="I238" s="149"/>
      <c r="J238" s="6"/>
      <c r="K238" s="149"/>
      <c r="L238" s="6"/>
      <c r="M238" s="109">
        <f t="shared" si="26"/>
        <v>0</v>
      </c>
    </row>
    <row r="239" spans="1:13">
      <c r="A239" s="163">
        <v>74</v>
      </c>
      <c r="B239" s="107" t="s">
        <v>172</v>
      </c>
      <c r="C239" s="107"/>
      <c r="D239" s="97" t="s">
        <v>12</v>
      </c>
      <c r="E239" s="108"/>
      <c r="F239" s="91">
        <f>(H230+H231+H232+H233+H235+H236)*0.05</f>
        <v>0</v>
      </c>
      <c r="G239" s="91"/>
      <c r="H239" s="6">
        <f t="shared" si="23"/>
        <v>0</v>
      </c>
      <c r="I239" s="91"/>
      <c r="J239" s="6"/>
      <c r="K239" s="91"/>
      <c r="L239" s="6"/>
      <c r="M239" s="109">
        <f t="shared" si="26"/>
        <v>0</v>
      </c>
    </row>
    <row r="240" spans="1:13">
      <c r="A240" s="182"/>
      <c r="B240" s="183" t="s">
        <v>294</v>
      </c>
      <c r="C240" s="183"/>
      <c r="D240" s="15"/>
      <c r="E240" s="145"/>
      <c r="F240" s="91"/>
      <c r="G240" s="91"/>
      <c r="H240" s="16"/>
      <c r="I240" s="91"/>
      <c r="J240" s="91"/>
      <c r="K240" s="91"/>
      <c r="L240" s="184"/>
      <c r="M240" s="16"/>
    </row>
    <row r="241" spans="1:13">
      <c r="A241" s="284">
        <v>75</v>
      </c>
      <c r="B241" s="185" t="s">
        <v>4</v>
      </c>
      <c r="C241" s="185"/>
      <c r="D241" s="97"/>
      <c r="E241" s="108"/>
      <c r="F241" s="91"/>
      <c r="G241" s="161"/>
      <c r="H241" s="16"/>
      <c r="I241" s="91"/>
      <c r="J241" s="161"/>
      <c r="K241" s="91"/>
      <c r="L241" s="186"/>
      <c r="M241" s="16"/>
    </row>
    <row r="242" spans="1:13">
      <c r="A242" s="285"/>
      <c r="B242" s="158" t="s">
        <v>295</v>
      </c>
      <c r="C242" s="158"/>
      <c r="D242" s="112" t="s">
        <v>296</v>
      </c>
      <c r="E242" s="133"/>
      <c r="F242" s="134">
        <v>800</v>
      </c>
      <c r="G242" s="161"/>
      <c r="H242" s="91"/>
      <c r="I242" s="91"/>
      <c r="J242" s="161">
        <f t="shared" ref="J242" si="27">I242*F242</f>
        <v>0</v>
      </c>
      <c r="K242" s="91"/>
      <c r="L242" s="186"/>
      <c r="M242" s="16">
        <f t="shared" ref="M242" si="28">L242+J242+H242</f>
        <v>0</v>
      </c>
    </row>
    <row r="243" spans="1:13">
      <c r="A243" s="163"/>
      <c r="B243" s="107"/>
      <c r="C243" s="107"/>
      <c r="D243" s="97"/>
      <c r="E243" s="108"/>
      <c r="F243" s="91"/>
      <c r="G243" s="91"/>
      <c r="H243" s="6"/>
      <c r="I243" s="91"/>
      <c r="J243" s="6"/>
      <c r="K243" s="91"/>
      <c r="L243" s="6"/>
      <c r="M243" s="109"/>
    </row>
    <row r="244" spans="1:13">
      <c r="A244" s="10"/>
      <c r="B244" s="11" t="s">
        <v>6</v>
      </c>
      <c r="C244" s="11"/>
      <c r="D244" s="11"/>
      <c r="E244" s="11"/>
      <c r="F244" s="10"/>
      <c r="G244" s="10"/>
      <c r="H244" s="25">
        <f>SUM(H9:H243)</f>
        <v>0</v>
      </c>
      <c r="I244" s="25"/>
      <c r="J244" s="25">
        <f>SUM(J9:J243)</f>
        <v>0</v>
      </c>
      <c r="K244" s="25"/>
      <c r="L244" s="25">
        <f>SUM(L9:L243)</f>
        <v>0</v>
      </c>
      <c r="M244" s="187">
        <f>SUM(M9:M243)</f>
        <v>0</v>
      </c>
    </row>
    <row r="245" spans="1:13">
      <c r="A245" s="7"/>
      <c r="B245" s="13" t="s">
        <v>14</v>
      </c>
      <c r="C245" s="13"/>
      <c r="D245" s="150" t="s">
        <v>371</v>
      </c>
      <c r="E245" s="150"/>
      <c r="F245" s="16"/>
      <c r="G245" s="15"/>
      <c r="H245" s="151"/>
      <c r="I245" s="151"/>
      <c r="J245" s="151"/>
      <c r="K245" s="151"/>
      <c r="L245" s="151"/>
      <c r="M245" s="151" t="e">
        <f>H244*D245</f>
        <v>#VALUE!</v>
      </c>
    </row>
    <row r="246" spans="1:13">
      <c r="A246" s="7"/>
      <c r="B246" s="18" t="s">
        <v>6</v>
      </c>
      <c r="C246" s="18"/>
      <c r="D246" s="15"/>
      <c r="E246" s="15"/>
      <c r="F246" s="16"/>
      <c r="G246" s="15"/>
      <c r="H246" s="151"/>
      <c r="I246" s="151"/>
      <c r="J246" s="151"/>
      <c r="K246" s="151"/>
      <c r="L246" s="151"/>
      <c r="M246" s="151" t="e">
        <f>M245+M244</f>
        <v>#VALUE!</v>
      </c>
    </row>
    <row r="247" spans="1:13">
      <c r="A247" s="7"/>
      <c r="B247" s="13" t="s">
        <v>15</v>
      </c>
      <c r="C247" s="13"/>
      <c r="D247" s="150" t="s">
        <v>371</v>
      </c>
      <c r="E247" s="150"/>
      <c r="F247" s="16"/>
      <c r="G247" s="15"/>
      <c r="H247" s="151"/>
      <c r="I247" s="151"/>
      <c r="J247" s="151"/>
      <c r="K247" s="151"/>
      <c r="L247" s="151"/>
      <c r="M247" s="151" t="e">
        <f>M246*D247</f>
        <v>#VALUE!</v>
      </c>
    </row>
    <row r="248" spans="1:13">
      <c r="A248" s="7"/>
      <c r="B248" s="18" t="s">
        <v>6</v>
      </c>
      <c r="C248" s="18"/>
      <c r="D248" s="15"/>
      <c r="E248" s="15"/>
      <c r="F248" s="16"/>
      <c r="G248" s="15"/>
      <c r="H248" s="151"/>
      <c r="I248" s="151"/>
      <c r="J248" s="151"/>
      <c r="K248" s="151"/>
      <c r="L248" s="151"/>
      <c r="M248" s="151" t="e">
        <f>SUM(M246:M247)</f>
        <v>#VALUE!</v>
      </c>
    </row>
    <row r="249" spans="1:13">
      <c r="A249" s="7"/>
      <c r="B249" s="13" t="s">
        <v>16</v>
      </c>
      <c r="C249" s="13"/>
      <c r="D249" s="150" t="s">
        <v>371</v>
      </c>
      <c r="E249" s="150"/>
      <c r="F249" s="16"/>
      <c r="G249" s="15"/>
      <c r="H249" s="151"/>
      <c r="I249" s="151"/>
      <c r="J249" s="151"/>
      <c r="K249" s="151"/>
      <c r="L249" s="151"/>
      <c r="M249" s="151" t="e">
        <f>M248*D249</f>
        <v>#VALUE!</v>
      </c>
    </row>
    <row r="250" spans="1:13">
      <c r="A250" s="7"/>
      <c r="B250" s="18" t="s">
        <v>6</v>
      </c>
      <c r="C250" s="18"/>
      <c r="D250" s="15"/>
      <c r="E250" s="15"/>
      <c r="F250" s="16"/>
      <c r="G250" s="15"/>
      <c r="H250" s="151"/>
      <c r="I250" s="151"/>
      <c r="J250" s="151"/>
      <c r="K250" s="151"/>
      <c r="L250" s="151"/>
      <c r="M250" s="151" t="e">
        <f>SUM(M248:M249)</f>
        <v>#VALUE!</v>
      </c>
    </row>
    <row r="251" spans="1:13">
      <c r="A251" s="7"/>
      <c r="B251" s="13" t="s">
        <v>19</v>
      </c>
      <c r="C251" s="13"/>
      <c r="D251" s="150" t="s">
        <v>371</v>
      </c>
      <c r="E251" s="150"/>
      <c r="F251" s="16"/>
      <c r="G251" s="15"/>
      <c r="H251" s="151"/>
      <c r="I251" s="151"/>
      <c r="J251" s="151"/>
      <c r="K251" s="151"/>
      <c r="L251" s="151"/>
      <c r="M251" s="151" t="e">
        <f>M250*D251</f>
        <v>#VALUE!</v>
      </c>
    </row>
    <row r="252" spans="1:13">
      <c r="A252" s="7"/>
      <c r="B252" s="13" t="s">
        <v>28</v>
      </c>
      <c r="C252" s="13"/>
      <c r="D252" s="150">
        <v>0.02</v>
      </c>
      <c r="E252" s="150"/>
      <c r="F252" s="16"/>
      <c r="G252" s="15"/>
      <c r="H252" s="151"/>
      <c r="I252" s="151"/>
      <c r="J252" s="151"/>
      <c r="K252" s="151"/>
      <c r="L252" s="151"/>
      <c r="M252" s="151">
        <f>J244*D252</f>
        <v>0</v>
      </c>
    </row>
    <row r="253" spans="1:13">
      <c r="A253" s="7"/>
      <c r="B253" s="18" t="s">
        <v>6</v>
      </c>
      <c r="C253" s="18"/>
      <c r="D253" s="15"/>
      <c r="E253" s="15"/>
      <c r="F253" s="16"/>
      <c r="G253" s="15"/>
      <c r="H253" s="151"/>
      <c r="I253" s="151"/>
      <c r="J253" s="151"/>
      <c r="K253" s="151"/>
      <c r="L253" s="151"/>
      <c r="M253" s="151" t="e">
        <f>M252+M251+M250</f>
        <v>#VALUE!</v>
      </c>
    </row>
    <row r="254" spans="1:13">
      <c r="A254" s="7"/>
      <c r="B254" s="8" t="s">
        <v>17</v>
      </c>
      <c r="C254" s="8"/>
      <c r="D254" s="150">
        <v>0.18</v>
      </c>
      <c r="E254" s="150"/>
      <c r="F254" s="16"/>
      <c r="G254" s="15"/>
      <c r="H254" s="151"/>
      <c r="I254" s="151"/>
      <c r="J254" s="151"/>
      <c r="K254" s="151"/>
      <c r="L254" s="151"/>
      <c r="M254" s="151" t="e">
        <f>M253*D254</f>
        <v>#VALUE!</v>
      </c>
    </row>
    <row r="255" spans="1:13">
      <c r="A255" s="152"/>
      <c r="B255" s="188" t="s">
        <v>18</v>
      </c>
      <c r="C255" s="188"/>
      <c r="D255" s="153"/>
      <c r="E255" s="153"/>
      <c r="F255" s="152"/>
      <c r="G255" s="152"/>
      <c r="H255" s="189"/>
      <c r="I255" s="189"/>
      <c r="J255" s="189"/>
      <c r="K255" s="189"/>
      <c r="L255" s="189"/>
      <c r="M255" s="154" t="e">
        <f>M254+M253</f>
        <v>#VALUE!</v>
      </c>
    </row>
  </sheetData>
  <mergeCells count="43">
    <mergeCell ref="K4:L4"/>
    <mergeCell ref="A1:K1"/>
    <mergeCell ref="L1:M1"/>
    <mergeCell ref="B2:M2"/>
    <mergeCell ref="A3:B3"/>
    <mergeCell ref="D3:G3"/>
    <mergeCell ref="A58:A65"/>
    <mergeCell ref="A66:A71"/>
    <mergeCell ref="A72:A80"/>
    <mergeCell ref="A4:G4"/>
    <mergeCell ref="H4:J4"/>
    <mergeCell ref="A53:A57"/>
    <mergeCell ref="A5:A6"/>
    <mergeCell ref="B5:B6"/>
    <mergeCell ref="D5:D6"/>
    <mergeCell ref="E5:E6"/>
    <mergeCell ref="I5:J5"/>
    <mergeCell ref="K5:L5"/>
    <mergeCell ref="M5:M6"/>
    <mergeCell ref="A10:A16"/>
    <mergeCell ref="A47:A52"/>
    <mergeCell ref="F5:F6"/>
    <mergeCell ref="G5:H5"/>
    <mergeCell ref="A82:A89"/>
    <mergeCell ref="A90:A96"/>
    <mergeCell ref="A180:A184"/>
    <mergeCell ref="A104:A111"/>
    <mergeCell ref="A112:A116"/>
    <mergeCell ref="A118:A123"/>
    <mergeCell ref="A124:A130"/>
    <mergeCell ref="A132:A137"/>
    <mergeCell ref="A139:A149"/>
    <mergeCell ref="A150:A158"/>
    <mergeCell ref="A160:A164"/>
    <mergeCell ref="A165:A169"/>
    <mergeCell ref="A170:A174"/>
    <mergeCell ref="A175:A179"/>
    <mergeCell ref="A97:A103"/>
    <mergeCell ref="A185:A196"/>
    <mergeCell ref="A197:A201"/>
    <mergeCell ref="A202:A206"/>
    <mergeCell ref="A208:A215"/>
    <mergeCell ref="A241:A242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262F2-FA6D-4605-B121-B438B594BE3B}">
  <dimension ref="A1:I45"/>
  <sheetViews>
    <sheetView topLeftCell="A26" zoomScaleNormal="100" workbookViewId="0">
      <selection activeCell="B36" sqref="B36"/>
    </sheetView>
  </sheetViews>
  <sheetFormatPr defaultRowHeight="14.5"/>
  <cols>
    <col min="1" max="1" width="3.1796875" customWidth="1"/>
    <col min="2" max="2" width="69.1796875" bestFit="1" customWidth="1"/>
    <col min="3" max="3" width="5.6328125" customWidth="1"/>
    <col min="4" max="4" width="6.6328125" customWidth="1"/>
    <col min="5" max="5" width="7.453125" customWidth="1"/>
    <col min="6" max="6" width="8.1796875" bestFit="1" customWidth="1"/>
    <col min="7" max="7" width="7.453125" customWidth="1"/>
    <col min="8" max="8" width="11.453125" customWidth="1"/>
    <col min="9" max="9" width="10.6328125" customWidth="1"/>
  </cols>
  <sheetData>
    <row r="1" spans="1:9" ht="29" customHeight="1">
      <c r="A1" s="320" t="s">
        <v>314</v>
      </c>
      <c r="B1" s="319" t="s">
        <v>315</v>
      </c>
      <c r="C1" s="319" t="s">
        <v>316</v>
      </c>
      <c r="D1" s="319" t="s">
        <v>317</v>
      </c>
      <c r="E1" s="321" t="s">
        <v>4</v>
      </c>
      <c r="F1" s="321"/>
      <c r="G1" s="321" t="s">
        <v>318</v>
      </c>
      <c r="H1" s="321"/>
      <c r="I1" s="319" t="s">
        <v>319</v>
      </c>
    </row>
    <row r="2" spans="1:9" ht="14.5" customHeight="1">
      <c r="A2" s="320" t="s">
        <v>314</v>
      </c>
      <c r="B2" s="319" t="s">
        <v>315</v>
      </c>
      <c r="C2" s="319" t="s">
        <v>316</v>
      </c>
      <c r="D2" s="319" t="s">
        <v>317</v>
      </c>
      <c r="E2" s="214" t="s">
        <v>320</v>
      </c>
      <c r="F2" s="214" t="s">
        <v>321</v>
      </c>
      <c r="G2" s="214" t="s">
        <v>320</v>
      </c>
      <c r="H2" s="214" t="s">
        <v>321</v>
      </c>
      <c r="I2" s="319" t="s">
        <v>319</v>
      </c>
    </row>
    <row r="3" spans="1:9" ht="14.5" customHeight="1">
      <c r="A3" s="215"/>
      <c r="B3" s="215"/>
      <c r="C3" s="215"/>
      <c r="D3" s="215"/>
      <c r="E3" s="215"/>
      <c r="F3" s="215"/>
      <c r="G3" s="215"/>
      <c r="H3" s="215"/>
      <c r="I3" s="215"/>
    </row>
    <row r="4" spans="1:9" ht="58" customHeight="1">
      <c r="A4" s="216" t="s">
        <v>322</v>
      </c>
      <c r="B4" s="213" t="s">
        <v>323</v>
      </c>
      <c r="C4" s="213" t="s">
        <v>324</v>
      </c>
      <c r="D4" s="220" t="s">
        <v>325</v>
      </c>
      <c r="E4" s="220"/>
      <c r="F4" s="337">
        <f>D4*E4</f>
        <v>0</v>
      </c>
      <c r="G4" s="337"/>
      <c r="H4" s="337">
        <f>D4*G4</f>
        <v>0</v>
      </c>
      <c r="I4" s="337">
        <f>F4+H4</f>
        <v>0</v>
      </c>
    </row>
    <row r="5" spans="1:9" ht="34.75" customHeight="1">
      <c r="A5" s="216" t="s">
        <v>326</v>
      </c>
      <c r="B5" s="214" t="s">
        <v>327</v>
      </c>
      <c r="C5" s="213" t="s">
        <v>324</v>
      </c>
      <c r="D5" s="220" t="s">
        <v>328</v>
      </c>
      <c r="E5" s="220"/>
      <c r="F5" s="337">
        <f t="shared" ref="F5:F29" si="0">D5*E5</f>
        <v>0</v>
      </c>
      <c r="G5" s="337"/>
      <c r="H5" s="337">
        <f t="shared" ref="H5:H34" si="1">D5*G5</f>
        <v>0</v>
      </c>
      <c r="I5" s="337">
        <f t="shared" ref="I5:I35" si="2">F5+H5</f>
        <v>0</v>
      </c>
    </row>
    <row r="6" spans="1:9" ht="14.5" customHeight="1">
      <c r="A6" s="217">
        <v>3</v>
      </c>
      <c r="B6" s="214" t="s">
        <v>329</v>
      </c>
      <c r="C6" s="214" t="s">
        <v>330</v>
      </c>
      <c r="D6" s="221">
        <v>200</v>
      </c>
      <c r="E6" s="221"/>
      <c r="F6" s="337">
        <f t="shared" si="0"/>
        <v>0</v>
      </c>
      <c r="G6" s="338"/>
      <c r="H6" s="337">
        <f t="shared" si="1"/>
        <v>0</v>
      </c>
      <c r="I6" s="337">
        <f t="shared" si="2"/>
        <v>0</v>
      </c>
    </row>
    <row r="7" spans="1:9" ht="14.5" customHeight="1">
      <c r="A7" s="217">
        <v>4</v>
      </c>
      <c r="B7" s="214" t="s">
        <v>331</v>
      </c>
      <c r="C7" s="214" t="s">
        <v>330</v>
      </c>
      <c r="D7" s="221">
        <v>140</v>
      </c>
      <c r="E7" s="221"/>
      <c r="F7" s="337">
        <f t="shared" si="0"/>
        <v>0</v>
      </c>
      <c r="G7" s="338"/>
      <c r="H7" s="337">
        <f t="shared" si="1"/>
        <v>0</v>
      </c>
      <c r="I7" s="337">
        <f t="shared" si="2"/>
        <v>0</v>
      </c>
    </row>
    <row r="8" spans="1:9" ht="14.5" customHeight="1">
      <c r="A8" s="217">
        <v>5</v>
      </c>
      <c r="B8" s="214" t="s">
        <v>332</v>
      </c>
      <c r="C8" s="214" t="s">
        <v>333</v>
      </c>
      <c r="D8" s="222">
        <v>32</v>
      </c>
      <c r="E8" s="221"/>
      <c r="F8" s="337">
        <f t="shared" si="0"/>
        <v>0</v>
      </c>
      <c r="G8" s="338"/>
      <c r="H8" s="337">
        <f t="shared" si="1"/>
        <v>0</v>
      </c>
      <c r="I8" s="337">
        <f t="shared" si="2"/>
        <v>0</v>
      </c>
    </row>
    <row r="9" spans="1:9" ht="14.5" customHeight="1">
      <c r="A9" s="217">
        <v>6</v>
      </c>
      <c r="B9" s="214" t="s">
        <v>334</v>
      </c>
      <c r="C9" s="214" t="s">
        <v>333</v>
      </c>
      <c r="D9" s="222">
        <v>40</v>
      </c>
      <c r="E9" s="221"/>
      <c r="F9" s="337">
        <f t="shared" si="0"/>
        <v>0</v>
      </c>
      <c r="G9" s="338"/>
      <c r="H9" s="337">
        <f t="shared" si="1"/>
        <v>0</v>
      </c>
      <c r="I9" s="337">
        <f t="shared" si="2"/>
        <v>0</v>
      </c>
    </row>
    <row r="10" spans="1:9" ht="14.5" customHeight="1">
      <c r="A10" s="217">
        <v>7</v>
      </c>
      <c r="B10" s="214" t="s">
        <v>335</v>
      </c>
      <c r="C10" s="214" t="s">
        <v>333</v>
      </c>
      <c r="D10" s="222">
        <v>60</v>
      </c>
      <c r="E10" s="221"/>
      <c r="F10" s="337">
        <f t="shared" si="0"/>
        <v>0</v>
      </c>
      <c r="G10" s="338"/>
      <c r="H10" s="337">
        <f t="shared" si="1"/>
        <v>0</v>
      </c>
      <c r="I10" s="337">
        <f t="shared" si="2"/>
        <v>0</v>
      </c>
    </row>
    <row r="11" spans="1:9" ht="14.5" customHeight="1">
      <c r="A11" s="217">
        <v>8</v>
      </c>
      <c r="B11" s="214" t="s">
        <v>336</v>
      </c>
      <c r="C11" s="214" t="s">
        <v>333</v>
      </c>
      <c r="D11" s="222">
        <v>38</v>
      </c>
      <c r="E11" s="221"/>
      <c r="F11" s="337">
        <f t="shared" si="0"/>
        <v>0</v>
      </c>
      <c r="G11" s="338"/>
      <c r="H11" s="337">
        <f t="shared" si="1"/>
        <v>0</v>
      </c>
      <c r="I11" s="337">
        <f t="shared" si="2"/>
        <v>0</v>
      </c>
    </row>
    <row r="12" spans="1:9" ht="14.5" customHeight="1">
      <c r="A12" s="217">
        <v>9</v>
      </c>
      <c r="B12" s="214" t="s">
        <v>337</v>
      </c>
      <c r="C12" s="214" t="s">
        <v>333</v>
      </c>
      <c r="D12" s="221">
        <v>180</v>
      </c>
      <c r="E12" s="221"/>
      <c r="F12" s="337">
        <f t="shared" si="0"/>
        <v>0</v>
      </c>
      <c r="G12" s="338"/>
      <c r="H12" s="337">
        <f t="shared" si="1"/>
        <v>0</v>
      </c>
      <c r="I12" s="337">
        <f t="shared" si="2"/>
        <v>0</v>
      </c>
    </row>
    <row r="13" spans="1:9" ht="14.5" customHeight="1">
      <c r="A13" s="218">
        <v>10</v>
      </c>
      <c r="B13" s="214" t="s">
        <v>338</v>
      </c>
      <c r="C13" s="214" t="s">
        <v>135</v>
      </c>
      <c r="D13" s="222">
        <v>52</v>
      </c>
      <c r="E13" s="221"/>
      <c r="F13" s="337">
        <f t="shared" si="0"/>
        <v>0</v>
      </c>
      <c r="G13" s="338"/>
      <c r="H13" s="337">
        <f t="shared" si="1"/>
        <v>0</v>
      </c>
      <c r="I13" s="337">
        <f t="shared" si="2"/>
        <v>0</v>
      </c>
    </row>
    <row r="14" spans="1:9" ht="14.5" customHeight="1">
      <c r="A14" s="218">
        <v>11</v>
      </c>
      <c r="B14" s="214" t="s">
        <v>339</v>
      </c>
      <c r="C14" s="214" t="s">
        <v>135</v>
      </c>
      <c r="D14" s="222">
        <v>26</v>
      </c>
      <c r="E14" s="221"/>
      <c r="F14" s="337">
        <f>D14*E14</f>
        <v>0</v>
      </c>
      <c r="G14" s="338"/>
      <c r="H14" s="337">
        <f t="shared" si="1"/>
        <v>0</v>
      </c>
      <c r="I14" s="337">
        <f>F14+H14</f>
        <v>0</v>
      </c>
    </row>
    <row r="15" spans="1:9" ht="23.15" customHeight="1">
      <c r="A15" s="216" t="s">
        <v>340</v>
      </c>
      <c r="B15" s="213" t="s">
        <v>341</v>
      </c>
      <c r="C15" s="213" t="s">
        <v>324</v>
      </c>
      <c r="D15" s="220" t="s">
        <v>328</v>
      </c>
      <c r="E15" s="220"/>
      <c r="F15" s="337">
        <f t="shared" si="0"/>
        <v>0</v>
      </c>
      <c r="G15" s="337"/>
      <c r="H15" s="337">
        <f t="shared" si="1"/>
        <v>0</v>
      </c>
      <c r="I15" s="337">
        <f t="shared" si="2"/>
        <v>0</v>
      </c>
    </row>
    <row r="16" spans="1:9" ht="23.15" customHeight="1">
      <c r="A16" s="216" t="s">
        <v>342</v>
      </c>
      <c r="B16" s="213" t="s">
        <v>343</v>
      </c>
      <c r="C16" s="213" t="s">
        <v>324</v>
      </c>
      <c r="D16" s="220" t="s">
        <v>322</v>
      </c>
      <c r="E16" s="220"/>
      <c r="F16" s="337">
        <f t="shared" si="0"/>
        <v>0</v>
      </c>
      <c r="G16" s="337"/>
      <c r="H16" s="337">
        <f t="shared" si="1"/>
        <v>0</v>
      </c>
      <c r="I16" s="337">
        <f t="shared" si="2"/>
        <v>0</v>
      </c>
    </row>
    <row r="17" spans="1:9" ht="14.5" customHeight="1">
      <c r="A17" s="218">
        <v>14</v>
      </c>
      <c r="B17" s="214" t="s">
        <v>344</v>
      </c>
      <c r="C17" s="214" t="s">
        <v>333</v>
      </c>
      <c r="D17" s="222">
        <v>60</v>
      </c>
      <c r="E17" s="221"/>
      <c r="F17" s="337">
        <f t="shared" si="0"/>
        <v>0</v>
      </c>
      <c r="G17" s="338"/>
      <c r="H17" s="337">
        <f t="shared" si="1"/>
        <v>0</v>
      </c>
      <c r="I17" s="337">
        <f>F17+H17</f>
        <v>0</v>
      </c>
    </row>
    <row r="18" spans="1:9" ht="14.5" customHeight="1">
      <c r="A18" s="218">
        <v>15</v>
      </c>
      <c r="B18" s="214" t="s">
        <v>345</v>
      </c>
      <c r="C18" s="214" t="s">
        <v>135</v>
      </c>
      <c r="D18" s="222">
        <v>6</v>
      </c>
      <c r="E18" s="221"/>
      <c r="F18" s="337">
        <f t="shared" si="0"/>
        <v>0</v>
      </c>
      <c r="G18" s="338"/>
      <c r="H18" s="337">
        <f t="shared" si="1"/>
        <v>0</v>
      </c>
      <c r="I18" s="337">
        <f t="shared" si="2"/>
        <v>0</v>
      </c>
    </row>
    <row r="19" spans="1:9" ht="14.5" customHeight="1">
      <c r="A19" s="218">
        <v>16</v>
      </c>
      <c r="B19" s="214" t="s">
        <v>346</v>
      </c>
      <c r="C19" s="214" t="s">
        <v>135</v>
      </c>
      <c r="D19" s="222">
        <v>12</v>
      </c>
      <c r="E19" s="221"/>
      <c r="F19" s="337">
        <f t="shared" si="0"/>
        <v>0</v>
      </c>
      <c r="G19" s="338"/>
      <c r="H19" s="337">
        <f t="shared" si="1"/>
        <v>0</v>
      </c>
      <c r="I19" s="337">
        <f t="shared" si="2"/>
        <v>0</v>
      </c>
    </row>
    <row r="20" spans="1:9" ht="14.5" customHeight="1">
      <c r="A20" s="218">
        <v>17</v>
      </c>
      <c r="B20" s="214" t="s">
        <v>347</v>
      </c>
      <c r="C20" s="214" t="s">
        <v>135</v>
      </c>
      <c r="D20" s="222">
        <v>6</v>
      </c>
      <c r="E20" s="221"/>
      <c r="F20" s="337">
        <f t="shared" si="0"/>
        <v>0</v>
      </c>
      <c r="G20" s="338"/>
      <c r="H20" s="337">
        <f>D20*G20</f>
        <v>0</v>
      </c>
      <c r="I20" s="337">
        <f t="shared" si="2"/>
        <v>0</v>
      </c>
    </row>
    <row r="21" spans="1:9" ht="14.5" customHeight="1">
      <c r="A21" s="218">
        <v>18</v>
      </c>
      <c r="B21" s="214" t="s">
        <v>348</v>
      </c>
      <c r="C21" s="214" t="s">
        <v>135</v>
      </c>
      <c r="D21" s="222">
        <v>2</v>
      </c>
      <c r="E21" s="221"/>
      <c r="F21" s="337">
        <f t="shared" si="0"/>
        <v>0</v>
      </c>
      <c r="G21" s="338"/>
      <c r="H21" s="337">
        <f t="shared" si="1"/>
        <v>0</v>
      </c>
      <c r="I21" s="337">
        <f t="shared" si="2"/>
        <v>0</v>
      </c>
    </row>
    <row r="22" spans="1:9" ht="23.15" customHeight="1">
      <c r="A22" s="216" t="s">
        <v>349</v>
      </c>
      <c r="B22" s="213" t="s">
        <v>350</v>
      </c>
      <c r="C22" s="213" t="s">
        <v>324</v>
      </c>
      <c r="D22" s="220" t="s">
        <v>322</v>
      </c>
      <c r="E22" s="220"/>
      <c r="F22" s="337">
        <f t="shared" si="0"/>
        <v>0</v>
      </c>
      <c r="G22" s="337"/>
      <c r="H22" s="337">
        <f t="shared" si="1"/>
        <v>0</v>
      </c>
      <c r="I22" s="337">
        <f t="shared" si="2"/>
        <v>0</v>
      </c>
    </row>
    <row r="23" spans="1:9" ht="14.5" customHeight="1">
      <c r="A23" s="218">
        <v>20</v>
      </c>
      <c r="B23" s="214" t="s">
        <v>344</v>
      </c>
      <c r="C23" s="214" t="s">
        <v>333</v>
      </c>
      <c r="D23" s="222">
        <v>30</v>
      </c>
      <c r="E23" s="221"/>
      <c r="F23" s="337">
        <f>D23*E23</f>
        <v>0</v>
      </c>
      <c r="G23" s="338"/>
      <c r="H23" s="337">
        <f t="shared" si="1"/>
        <v>0</v>
      </c>
      <c r="I23" s="337">
        <f>F23+H23</f>
        <v>0</v>
      </c>
    </row>
    <row r="24" spans="1:9" ht="14.5" customHeight="1">
      <c r="A24" s="218">
        <v>21</v>
      </c>
      <c r="B24" s="214" t="s">
        <v>351</v>
      </c>
      <c r="C24" s="214" t="s">
        <v>135</v>
      </c>
      <c r="D24" s="222">
        <v>2</v>
      </c>
      <c r="E24" s="221"/>
      <c r="F24" s="337">
        <f t="shared" si="0"/>
        <v>0</v>
      </c>
      <c r="G24" s="338"/>
      <c r="H24" s="337">
        <f t="shared" si="1"/>
        <v>0</v>
      </c>
      <c r="I24" s="337">
        <f t="shared" si="2"/>
        <v>0</v>
      </c>
    </row>
    <row r="25" spans="1:9" ht="14.5" customHeight="1">
      <c r="A25" s="218">
        <v>22</v>
      </c>
      <c r="B25" s="214" t="s">
        <v>352</v>
      </c>
      <c r="C25" s="214" t="s">
        <v>135</v>
      </c>
      <c r="D25" s="222">
        <v>24</v>
      </c>
      <c r="E25" s="221"/>
      <c r="F25" s="337">
        <f t="shared" si="0"/>
        <v>0</v>
      </c>
      <c r="G25" s="338"/>
      <c r="H25" s="337">
        <f t="shared" si="1"/>
        <v>0</v>
      </c>
      <c r="I25" s="337">
        <f t="shared" si="2"/>
        <v>0</v>
      </c>
    </row>
    <row r="26" spans="1:9" ht="14.5" customHeight="1">
      <c r="A26" s="218">
        <v>23</v>
      </c>
      <c r="B26" s="214" t="s">
        <v>353</v>
      </c>
      <c r="C26" s="214" t="s">
        <v>9</v>
      </c>
      <c r="D26" s="222">
        <v>1</v>
      </c>
      <c r="E26" s="221"/>
      <c r="F26" s="337">
        <f t="shared" si="0"/>
        <v>0</v>
      </c>
      <c r="G26" s="338"/>
      <c r="H26" s="337">
        <f t="shared" si="1"/>
        <v>0</v>
      </c>
      <c r="I26" s="337">
        <f t="shared" si="2"/>
        <v>0</v>
      </c>
    </row>
    <row r="27" spans="1:9" ht="23.15" customHeight="1">
      <c r="A27" s="216" t="s">
        <v>354</v>
      </c>
      <c r="B27" s="213" t="s">
        <v>355</v>
      </c>
      <c r="C27" s="213" t="s">
        <v>356</v>
      </c>
      <c r="D27" s="220" t="s">
        <v>357</v>
      </c>
      <c r="E27" s="220"/>
      <c r="F27" s="337">
        <f t="shared" si="0"/>
        <v>0</v>
      </c>
      <c r="G27" s="337"/>
      <c r="H27" s="337">
        <f t="shared" si="1"/>
        <v>0</v>
      </c>
      <c r="I27" s="337">
        <f t="shared" si="2"/>
        <v>0</v>
      </c>
    </row>
    <row r="28" spans="1:9" ht="14.5" customHeight="1">
      <c r="A28" s="218">
        <v>25</v>
      </c>
      <c r="B28" s="214" t="s">
        <v>358</v>
      </c>
      <c r="C28" s="214" t="s">
        <v>135</v>
      </c>
      <c r="D28" s="222">
        <v>80</v>
      </c>
      <c r="E28" s="221"/>
      <c r="F28" s="337">
        <f t="shared" si="0"/>
        <v>0</v>
      </c>
      <c r="G28" s="338"/>
      <c r="H28" s="337">
        <f t="shared" si="1"/>
        <v>0</v>
      </c>
      <c r="I28" s="337">
        <f t="shared" si="2"/>
        <v>0</v>
      </c>
    </row>
    <row r="29" spans="1:9" ht="14.5" customHeight="1">
      <c r="A29" s="218">
        <v>26</v>
      </c>
      <c r="B29" s="214" t="s">
        <v>359</v>
      </c>
      <c r="C29" s="214" t="s">
        <v>135</v>
      </c>
      <c r="D29" s="222">
        <v>30</v>
      </c>
      <c r="E29" s="221"/>
      <c r="F29" s="337">
        <f t="shared" si="0"/>
        <v>0</v>
      </c>
      <c r="G29" s="338"/>
      <c r="H29" s="337">
        <f t="shared" si="1"/>
        <v>0</v>
      </c>
      <c r="I29" s="337">
        <f t="shared" si="2"/>
        <v>0</v>
      </c>
    </row>
    <row r="30" spans="1:9" ht="14.5" customHeight="1">
      <c r="A30" s="218">
        <v>27</v>
      </c>
      <c r="B30" s="215"/>
      <c r="C30" s="215"/>
      <c r="D30" s="223"/>
      <c r="E30" s="223"/>
      <c r="F30" s="338">
        <v>0</v>
      </c>
      <c r="G30" s="339"/>
      <c r="H30" s="337">
        <f t="shared" si="1"/>
        <v>0</v>
      </c>
      <c r="I30" s="337">
        <f t="shared" si="2"/>
        <v>0</v>
      </c>
    </row>
    <row r="31" spans="1:9" ht="14.5" customHeight="1">
      <c r="A31" s="215"/>
      <c r="B31" s="215"/>
      <c r="C31" s="215"/>
      <c r="D31" s="223"/>
      <c r="E31" s="223"/>
      <c r="F31" s="338">
        <v>0</v>
      </c>
      <c r="G31" s="339"/>
      <c r="H31" s="337">
        <f t="shared" si="1"/>
        <v>0</v>
      </c>
      <c r="I31" s="337">
        <f t="shared" si="2"/>
        <v>0</v>
      </c>
    </row>
    <row r="32" spans="1:9" ht="14.5" customHeight="1">
      <c r="A32" s="215"/>
      <c r="B32" s="215"/>
      <c r="C32" s="215"/>
      <c r="D32" s="223"/>
      <c r="E32" s="223"/>
      <c r="F32" s="338">
        <v>0</v>
      </c>
      <c r="G32" s="339"/>
      <c r="H32" s="337">
        <f t="shared" si="1"/>
        <v>0</v>
      </c>
      <c r="I32" s="337">
        <f t="shared" si="2"/>
        <v>0</v>
      </c>
    </row>
    <row r="33" spans="1:9" ht="14.5" customHeight="1">
      <c r="A33" s="215"/>
      <c r="B33" s="215"/>
      <c r="C33" s="215"/>
      <c r="D33" s="223"/>
      <c r="E33" s="223"/>
      <c r="F33" s="338">
        <v>0</v>
      </c>
      <c r="G33" s="339"/>
      <c r="H33" s="337">
        <f t="shared" si="1"/>
        <v>0</v>
      </c>
      <c r="I33" s="337">
        <f>F33+H33</f>
        <v>0</v>
      </c>
    </row>
    <row r="34" spans="1:9" ht="15.25" customHeight="1">
      <c r="A34" s="215"/>
      <c r="B34" s="215"/>
      <c r="C34" s="215"/>
      <c r="D34" s="223"/>
      <c r="E34" s="223"/>
      <c r="F34" s="338">
        <v>0</v>
      </c>
      <c r="G34" s="339"/>
      <c r="H34" s="337">
        <f t="shared" si="1"/>
        <v>0</v>
      </c>
      <c r="I34" s="337">
        <f t="shared" si="2"/>
        <v>0</v>
      </c>
    </row>
    <row r="35" spans="1:9" ht="15.15" customHeight="1">
      <c r="A35" s="215"/>
      <c r="B35" s="219" t="s">
        <v>372</v>
      </c>
      <c r="C35" s="215"/>
      <c r="D35" s="223"/>
      <c r="E35" s="223"/>
      <c r="F35" s="338">
        <f>SUM(F4:F34)</f>
        <v>0</v>
      </c>
      <c r="G35" s="339"/>
      <c r="H35" s="338">
        <f>SUM(H4:H34)</f>
        <v>0</v>
      </c>
      <c r="I35" s="337">
        <f t="shared" si="2"/>
        <v>0</v>
      </c>
    </row>
    <row r="36" spans="1:9" ht="14.5" customHeight="1">
      <c r="A36" s="215"/>
      <c r="B36" s="214" t="s">
        <v>360</v>
      </c>
      <c r="C36" s="219" t="s">
        <v>371</v>
      </c>
      <c r="D36" s="223"/>
      <c r="E36" s="223"/>
      <c r="F36" s="339"/>
      <c r="G36" s="339"/>
      <c r="H36" s="339"/>
      <c r="I36" s="340" t="e">
        <f>H35*C36</f>
        <v>#VALUE!</v>
      </c>
    </row>
    <row r="37" spans="1:9" ht="14.5" customHeight="1">
      <c r="A37" s="215"/>
      <c r="B37" s="214" t="s">
        <v>6</v>
      </c>
      <c r="C37" s="215"/>
      <c r="D37" s="223"/>
      <c r="E37" s="223"/>
      <c r="F37" s="339"/>
      <c r="G37" s="339"/>
      <c r="H37" s="339"/>
      <c r="I37" s="340" t="e">
        <f>SUM(I35:I36)</f>
        <v>#VALUE!</v>
      </c>
    </row>
    <row r="38" spans="1:9" ht="14.5" customHeight="1">
      <c r="A38" s="215"/>
      <c r="B38" s="214" t="s">
        <v>361</v>
      </c>
      <c r="C38" s="219" t="s">
        <v>371</v>
      </c>
      <c r="D38" s="223"/>
      <c r="E38" s="223"/>
      <c r="F38" s="339"/>
      <c r="G38" s="339"/>
      <c r="H38" s="339"/>
      <c r="I38" s="340" t="e">
        <f>I37*C38</f>
        <v>#VALUE!</v>
      </c>
    </row>
    <row r="39" spans="1:9" ht="14.5" customHeight="1">
      <c r="A39" s="215"/>
      <c r="B39" s="214" t="s">
        <v>6</v>
      </c>
      <c r="C39" s="215"/>
      <c r="D39" s="223"/>
      <c r="E39" s="223"/>
      <c r="F39" s="339"/>
      <c r="G39" s="339"/>
      <c r="H39" s="339"/>
      <c r="I39" s="340" t="e">
        <f>SUM(I37:I38)</f>
        <v>#VALUE!</v>
      </c>
    </row>
    <row r="40" spans="1:9" ht="14.5" customHeight="1">
      <c r="A40" s="215"/>
      <c r="B40" s="214" t="s">
        <v>362</v>
      </c>
      <c r="C40" s="219" t="s">
        <v>371</v>
      </c>
      <c r="D40" s="223"/>
      <c r="E40" s="223"/>
      <c r="F40" s="339"/>
      <c r="G40" s="339"/>
      <c r="H40" s="339"/>
      <c r="I40" s="340" t="e">
        <f>I39*C40</f>
        <v>#VALUE!</v>
      </c>
    </row>
    <row r="41" spans="1:9" ht="14.5" customHeight="1">
      <c r="A41" s="215"/>
      <c r="B41" s="214" t="s">
        <v>6</v>
      </c>
      <c r="C41" s="215"/>
      <c r="D41" s="223"/>
      <c r="E41" s="223"/>
      <c r="F41" s="339"/>
      <c r="G41" s="339"/>
      <c r="H41" s="339"/>
      <c r="I41" s="340" t="e">
        <f>SUM(I39:I40)</f>
        <v>#VALUE!</v>
      </c>
    </row>
    <row r="42" spans="1:9" ht="14.5" customHeight="1">
      <c r="A42" s="215"/>
      <c r="B42" s="219" t="s">
        <v>19</v>
      </c>
      <c r="C42" s="219" t="s">
        <v>371</v>
      </c>
      <c r="D42" s="223"/>
      <c r="E42" s="223"/>
      <c r="F42" s="339"/>
      <c r="G42" s="339"/>
      <c r="H42" s="339"/>
      <c r="I42" s="340" t="e">
        <f>I41*C42</f>
        <v>#VALUE!</v>
      </c>
    </row>
    <row r="43" spans="1:9" ht="14.5" customHeight="1">
      <c r="A43" s="215"/>
      <c r="B43" s="214" t="s">
        <v>6</v>
      </c>
      <c r="C43" s="215"/>
      <c r="D43" s="223"/>
      <c r="E43" s="223"/>
      <c r="F43" s="339"/>
      <c r="G43" s="339"/>
      <c r="H43" s="339"/>
      <c r="I43" s="340" t="e">
        <f>SUM(I41:I42)</f>
        <v>#VALUE!</v>
      </c>
    </row>
    <row r="44" spans="1:9" ht="15.15" customHeight="1">
      <c r="A44" s="215"/>
      <c r="B44" s="214" t="s">
        <v>363</v>
      </c>
      <c r="C44" s="219" t="s">
        <v>364</v>
      </c>
      <c r="D44" s="223"/>
      <c r="E44" s="223"/>
      <c r="F44" s="339"/>
      <c r="G44" s="339"/>
      <c r="H44" s="339"/>
      <c r="I44" s="340" t="e">
        <f>I43*C44</f>
        <v>#VALUE!</v>
      </c>
    </row>
    <row r="45" spans="1:9" ht="29" customHeight="1">
      <c r="A45" s="215"/>
      <c r="B45" s="213" t="s">
        <v>365</v>
      </c>
      <c r="C45" s="215"/>
      <c r="D45" s="223"/>
      <c r="E45" s="223"/>
      <c r="F45" s="339"/>
      <c r="G45" s="339"/>
      <c r="H45" s="339"/>
      <c r="I45" s="341" t="e">
        <f>SUM(I35,I36,I38,I40,I42,I44)</f>
        <v>#VALUE!</v>
      </c>
    </row>
  </sheetData>
  <mergeCells count="7">
    <mergeCell ref="I1:I2"/>
    <mergeCell ref="A1:A2"/>
    <mergeCell ref="B1:B2"/>
    <mergeCell ref="C1:C2"/>
    <mergeCell ref="D1:D2"/>
    <mergeCell ref="E1:F1"/>
    <mergeCell ref="G1:H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62BF4-0658-40F4-905F-C9BEF4AC7088}">
  <dimension ref="A1:L35"/>
  <sheetViews>
    <sheetView workbookViewId="0">
      <selection activeCell="C11" sqref="C11:C12"/>
    </sheetView>
  </sheetViews>
  <sheetFormatPr defaultRowHeight="14.5"/>
  <cols>
    <col min="1" max="1" width="3" customWidth="1"/>
    <col min="2" max="2" width="70.36328125" style="42" customWidth="1"/>
    <col min="3" max="3" width="9" customWidth="1"/>
    <col min="4" max="4" width="6" customWidth="1"/>
    <col min="5" max="5" width="7" customWidth="1"/>
    <col min="6" max="6" width="11" customWidth="1"/>
    <col min="7" max="7" width="5.453125" customWidth="1"/>
    <col min="8" max="8" width="6.54296875" customWidth="1"/>
    <col min="9" max="9" width="9.453125" customWidth="1"/>
    <col min="10" max="10" width="9.90625" customWidth="1"/>
    <col min="15" max="15" width="11.6328125" customWidth="1"/>
  </cols>
  <sheetData>
    <row r="1" spans="1:12" ht="24">
      <c r="A1" s="224"/>
      <c r="B1" s="225" t="s">
        <v>373</v>
      </c>
      <c r="C1" s="324" t="s">
        <v>374</v>
      </c>
      <c r="D1" s="325"/>
      <c r="E1" s="325"/>
      <c r="F1" s="325"/>
      <c r="G1" s="326"/>
      <c r="H1" s="326"/>
      <c r="I1" s="326"/>
      <c r="J1" s="226"/>
      <c r="K1" s="226"/>
    </row>
    <row r="2" spans="1:12">
      <c r="A2" s="224"/>
      <c r="B2" s="327"/>
      <c r="C2" s="327"/>
      <c r="D2" s="328"/>
      <c r="E2" s="328"/>
      <c r="F2" s="328"/>
      <c r="G2" s="229" t="s">
        <v>375</v>
      </c>
      <c r="H2" s="229"/>
      <c r="I2" s="226"/>
      <c r="J2" s="226"/>
      <c r="K2" s="226"/>
    </row>
    <row r="3" spans="1:12">
      <c r="A3" s="224"/>
      <c r="B3" s="227"/>
      <c r="C3" s="329"/>
      <c r="D3" s="330"/>
      <c r="E3" s="330"/>
      <c r="F3" s="330"/>
      <c r="G3" s="231"/>
      <c r="H3" s="226"/>
      <c r="I3" s="226"/>
      <c r="J3" s="226"/>
      <c r="K3" s="226"/>
    </row>
    <row r="4" spans="1:12" ht="25">
      <c r="A4" s="232" t="s">
        <v>366</v>
      </c>
      <c r="B4" s="233" t="s">
        <v>376</v>
      </c>
      <c r="C4" s="232" t="s">
        <v>377</v>
      </c>
      <c r="D4" s="234" t="s">
        <v>2</v>
      </c>
      <c r="E4" s="331" t="s">
        <v>3</v>
      </c>
      <c r="F4" s="331"/>
      <c r="G4" s="331" t="s">
        <v>4</v>
      </c>
      <c r="H4" s="331"/>
      <c r="I4" s="232" t="s">
        <v>6</v>
      </c>
      <c r="J4" s="228"/>
      <c r="K4" s="224"/>
    </row>
    <row r="5" spans="1:12">
      <c r="A5" s="235">
        <v>1</v>
      </c>
      <c r="B5" s="236" t="s">
        <v>378</v>
      </c>
      <c r="C5" s="236" t="s">
        <v>204</v>
      </c>
      <c r="D5" s="237">
        <v>400</v>
      </c>
      <c r="E5" s="237"/>
      <c r="F5" s="132">
        <f t="shared" ref="F5:F7" si="0">E5*D5</f>
        <v>0</v>
      </c>
      <c r="G5" s="237"/>
      <c r="H5" s="237">
        <f t="shared" ref="H5:H9" si="1">G5*D5</f>
        <v>0</v>
      </c>
      <c r="I5" s="132">
        <f t="shared" ref="I5:I9" si="2">H5+F5</f>
        <v>0</v>
      </c>
    </row>
    <row r="6" spans="1:12">
      <c r="A6" s="235">
        <v>2</v>
      </c>
      <c r="B6" s="236" t="s">
        <v>379</v>
      </c>
      <c r="C6" s="236" t="s">
        <v>204</v>
      </c>
      <c r="D6" s="237">
        <v>360</v>
      </c>
      <c r="E6" s="237"/>
      <c r="F6" s="132">
        <f t="shared" si="0"/>
        <v>0</v>
      </c>
      <c r="G6" s="237"/>
      <c r="H6" s="237">
        <f t="shared" si="1"/>
        <v>0</v>
      </c>
      <c r="I6" s="132">
        <f t="shared" si="2"/>
        <v>0</v>
      </c>
    </row>
    <row r="7" spans="1:12">
      <c r="A7" s="235">
        <v>3</v>
      </c>
      <c r="B7" s="236" t="s">
        <v>380</v>
      </c>
      <c r="C7" s="236" t="s">
        <v>204</v>
      </c>
      <c r="D7" s="237">
        <v>100</v>
      </c>
      <c r="E7" s="237"/>
      <c r="F7" s="132">
        <f t="shared" si="0"/>
        <v>0</v>
      </c>
      <c r="G7" s="237"/>
      <c r="H7" s="237">
        <f t="shared" si="1"/>
        <v>0</v>
      </c>
      <c r="I7" s="132">
        <f t="shared" si="2"/>
        <v>0</v>
      </c>
    </row>
    <row r="8" spans="1:12">
      <c r="A8" s="235">
        <v>4</v>
      </c>
      <c r="B8" s="236" t="s">
        <v>381</v>
      </c>
      <c r="C8" s="236" t="s">
        <v>135</v>
      </c>
      <c r="D8" s="237">
        <v>36</v>
      </c>
      <c r="E8" s="237" t="s">
        <v>386</v>
      </c>
      <c r="F8" s="132">
        <v>0</v>
      </c>
      <c r="G8" s="237"/>
      <c r="H8" s="237">
        <f t="shared" si="1"/>
        <v>0</v>
      </c>
      <c r="I8" s="132">
        <f t="shared" si="2"/>
        <v>0</v>
      </c>
    </row>
    <row r="9" spans="1:12">
      <c r="A9" s="235">
        <v>5</v>
      </c>
      <c r="B9" s="236" t="s">
        <v>382</v>
      </c>
      <c r="C9" s="236" t="s">
        <v>135</v>
      </c>
      <c r="D9" s="237">
        <v>36</v>
      </c>
      <c r="E9" s="237"/>
      <c r="F9" s="132">
        <f>E9*D9</f>
        <v>0</v>
      </c>
      <c r="G9" s="237"/>
      <c r="H9" s="237">
        <f t="shared" si="1"/>
        <v>0</v>
      </c>
      <c r="I9" s="132">
        <f t="shared" si="2"/>
        <v>0</v>
      </c>
    </row>
    <row r="10" spans="1:12">
      <c r="A10" s="235"/>
      <c r="B10" s="236" t="s">
        <v>6</v>
      </c>
      <c r="C10" s="236"/>
      <c r="D10" s="237"/>
      <c r="E10" s="132"/>
      <c r="F10" s="132">
        <f>SUM(F5:F9)</f>
        <v>0</v>
      </c>
      <c r="G10" s="237"/>
      <c r="H10" s="237">
        <f>SUM(H5:H9)</f>
        <v>0</v>
      </c>
      <c r="I10" s="132">
        <f>SUM(I5:I9)</f>
        <v>0</v>
      </c>
    </row>
    <row r="11" spans="1:12">
      <c r="A11" s="235"/>
      <c r="B11" s="238" t="s">
        <v>384</v>
      </c>
      <c r="C11" s="235"/>
      <c r="D11" s="132"/>
      <c r="E11" s="239"/>
      <c r="F11" s="239"/>
      <c r="G11" s="240"/>
      <c r="H11" s="237"/>
      <c r="I11" s="240">
        <f>I10*0.1</f>
        <v>0</v>
      </c>
      <c r="L11" s="241"/>
    </row>
    <row r="12" spans="1:12">
      <c r="A12" s="235"/>
      <c r="B12" s="238" t="s">
        <v>6</v>
      </c>
      <c r="C12" s="235"/>
      <c r="D12" s="132"/>
      <c r="E12" s="239"/>
      <c r="F12" s="239"/>
      <c r="G12" s="240"/>
      <c r="H12" s="237"/>
      <c r="I12" s="240">
        <f>I11+I10</f>
        <v>0</v>
      </c>
      <c r="L12" s="241"/>
    </row>
    <row r="13" spans="1:12">
      <c r="A13" s="235"/>
      <c r="B13" s="238" t="s">
        <v>385</v>
      </c>
      <c r="C13" s="235"/>
      <c r="D13" s="132"/>
      <c r="E13" s="239"/>
      <c r="F13" s="239"/>
      <c r="G13" s="240"/>
      <c r="H13" s="237"/>
      <c r="I13" s="240">
        <f>I12*0.08</f>
        <v>0</v>
      </c>
      <c r="L13" s="241"/>
    </row>
    <row r="14" spans="1:12">
      <c r="A14" s="235"/>
      <c r="B14" s="242" t="s">
        <v>6</v>
      </c>
      <c r="C14" s="235"/>
      <c r="D14" s="132"/>
      <c r="E14" s="132"/>
      <c r="F14" s="132"/>
      <c r="G14" s="132"/>
      <c r="H14" s="132"/>
      <c r="I14" s="240">
        <f>I13+I12</f>
        <v>0</v>
      </c>
    </row>
    <row r="15" spans="1:12">
      <c r="A15" s="235"/>
      <c r="B15" s="242" t="s">
        <v>383</v>
      </c>
      <c r="C15" s="235"/>
      <c r="D15" s="132"/>
      <c r="E15" s="132"/>
      <c r="F15" s="132"/>
      <c r="G15" s="132"/>
      <c r="H15" s="132"/>
      <c r="I15" s="240">
        <f>I14*0.18</f>
        <v>0</v>
      </c>
    </row>
    <row r="16" spans="1:12">
      <c r="A16" s="235"/>
      <c r="B16" s="242" t="s">
        <v>6</v>
      </c>
      <c r="C16" s="235"/>
      <c r="D16" s="132"/>
      <c r="E16" s="132"/>
      <c r="F16" s="132"/>
      <c r="G16" s="132"/>
      <c r="H16" s="132"/>
      <c r="I16" s="240">
        <f>I15+I14</f>
        <v>0</v>
      </c>
    </row>
    <row r="17" spans="1:9">
      <c r="A17" s="243"/>
      <c r="B17" s="244"/>
      <c r="C17" s="243"/>
      <c r="I17" s="241"/>
    </row>
    <row r="18" spans="1:9" ht="15.5">
      <c r="B18" s="245"/>
      <c r="C18" s="246"/>
      <c r="D18" s="247"/>
      <c r="E18" s="323"/>
      <c r="F18" s="323"/>
      <c r="G18" s="323"/>
      <c r="H18" s="323"/>
    </row>
    <row r="19" spans="1:9">
      <c r="B19" s="248"/>
      <c r="E19" s="249"/>
      <c r="F19" s="249"/>
      <c r="G19" s="249"/>
      <c r="H19" s="249"/>
    </row>
    <row r="20" spans="1:9">
      <c r="B20" s="250"/>
      <c r="E20" s="322"/>
      <c r="F20" s="322"/>
      <c r="G20" s="322"/>
      <c r="H20" s="322"/>
    </row>
    <row r="21" spans="1:9">
      <c r="B21" s="250"/>
      <c r="E21" s="322"/>
      <c r="F21" s="322"/>
      <c r="G21" s="322"/>
      <c r="H21" s="322"/>
    </row>
    <row r="22" spans="1:9">
      <c r="B22" s="252"/>
      <c r="E22" s="322"/>
      <c r="F22" s="322"/>
      <c r="G22" s="322"/>
      <c r="H22" s="322"/>
    </row>
    <row r="23" spans="1:9">
      <c r="B23" s="252"/>
      <c r="E23" s="322"/>
      <c r="F23" s="322"/>
      <c r="G23" s="322"/>
      <c r="H23" s="322"/>
    </row>
    <row r="24" spans="1:9">
      <c r="B24"/>
      <c r="E24" s="322"/>
      <c r="F24" s="322"/>
      <c r="G24" s="322"/>
      <c r="H24" s="322"/>
    </row>
    <row r="25" spans="1:9">
      <c r="B25"/>
      <c r="E25" s="230"/>
      <c r="F25" s="251"/>
      <c r="G25" s="251"/>
      <c r="H25" s="251"/>
    </row>
    <row r="26" spans="1:9">
      <c r="B26" s="253"/>
      <c r="E26" s="322"/>
      <c r="F26" s="322"/>
      <c r="G26" s="322"/>
      <c r="H26" s="322"/>
    </row>
    <row r="27" spans="1:9">
      <c r="B27" s="253"/>
      <c r="E27" s="230"/>
      <c r="F27" s="251"/>
      <c r="G27" s="251"/>
      <c r="H27" s="251"/>
    </row>
    <row r="28" spans="1:9">
      <c r="B28" s="253"/>
      <c r="E28" s="322"/>
      <c r="F28" s="322"/>
      <c r="G28" s="322"/>
      <c r="H28" s="322"/>
    </row>
    <row r="29" spans="1:9" hidden="1">
      <c r="B29" s="254" t="s">
        <v>367</v>
      </c>
      <c r="E29" s="255" t="s">
        <v>368</v>
      </c>
      <c r="F29" s="255"/>
      <c r="G29" s="255"/>
      <c r="H29" s="255"/>
    </row>
    <row r="30" spans="1:9" ht="13.5" customHeight="1"/>
    <row r="31" spans="1:9" ht="15" hidden="1" customHeight="1"/>
    <row r="33" ht="15" hidden="1" customHeight="1"/>
    <row r="35" ht="15" hidden="1" customHeight="1"/>
  </sheetData>
  <mergeCells count="15">
    <mergeCell ref="E4:F4"/>
    <mergeCell ref="G4:H4"/>
    <mergeCell ref="C1:F1"/>
    <mergeCell ref="G1:I1"/>
    <mergeCell ref="B2:C2"/>
    <mergeCell ref="D2:F2"/>
    <mergeCell ref="C3:F3"/>
    <mergeCell ref="E26:H26"/>
    <mergeCell ref="E28:H28"/>
    <mergeCell ref="E18:H18"/>
    <mergeCell ref="E20:H20"/>
    <mergeCell ref="E21:H21"/>
    <mergeCell ref="E22:H22"/>
    <mergeCell ref="E23:H23"/>
    <mergeCell ref="E24:H2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2"/>
  <sheetViews>
    <sheetView workbookViewId="0">
      <selection activeCell="B11" sqref="B11"/>
    </sheetView>
  </sheetViews>
  <sheetFormatPr defaultColWidth="8.81640625" defaultRowHeight="14.5"/>
  <cols>
    <col min="1" max="1" width="3.453125" customWidth="1"/>
    <col min="2" max="2" width="51.81640625" customWidth="1"/>
    <col min="4" max="4" width="11.81640625" customWidth="1"/>
    <col min="5" max="5" width="9.08984375" customWidth="1"/>
    <col min="7" max="7" width="10.6328125" customWidth="1"/>
    <col min="9" max="9" width="11.453125" customWidth="1"/>
    <col min="11" max="11" width="12.36328125" customWidth="1"/>
  </cols>
  <sheetData>
    <row r="1" spans="1:11" ht="18" customHeight="1">
      <c r="A1" s="334" t="s">
        <v>45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</row>
    <row r="2" spans="1:11">
      <c r="A2" s="43"/>
      <c r="B2" s="332" t="s">
        <v>68</v>
      </c>
      <c r="C2" s="332"/>
      <c r="D2" s="332"/>
      <c r="E2" s="332"/>
      <c r="F2" s="332"/>
      <c r="G2" s="332"/>
      <c r="H2" s="332"/>
      <c r="I2" s="332"/>
      <c r="J2" s="332"/>
      <c r="K2" s="332"/>
    </row>
    <row r="3" spans="1:11">
      <c r="A3" s="333" t="s">
        <v>36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</row>
    <row r="4" spans="1:11">
      <c r="A4" s="44"/>
      <c r="B4" s="45" t="s">
        <v>46</v>
      </c>
      <c r="C4" s="46"/>
      <c r="D4" s="46"/>
      <c r="E4" s="259" t="s">
        <v>22</v>
      </c>
      <c r="F4" s="259"/>
      <c r="G4" s="259"/>
      <c r="H4" s="259"/>
      <c r="I4" s="335">
        <f>K32</f>
        <v>4235.6298933604003</v>
      </c>
      <c r="J4" s="335"/>
      <c r="K4" s="335"/>
    </row>
    <row r="5" spans="1:11">
      <c r="A5" s="267" t="s">
        <v>26</v>
      </c>
      <c r="B5" s="267" t="s">
        <v>0</v>
      </c>
      <c r="C5" s="267" t="s">
        <v>1</v>
      </c>
      <c r="D5" s="271" t="s">
        <v>2</v>
      </c>
      <c r="E5" s="273" t="s">
        <v>3</v>
      </c>
      <c r="F5" s="274"/>
      <c r="G5" s="273" t="s">
        <v>4</v>
      </c>
      <c r="H5" s="274"/>
      <c r="I5" s="265" t="s">
        <v>5</v>
      </c>
      <c r="J5" s="266"/>
      <c r="K5" s="267" t="s">
        <v>6</v>
      </c>
    </row>
    <row r="6" spans="1:11" ht="20.25" customHeight="1">
      <c r="A6" s="268"/>
      <c r="B6" s="268"/>
      <c r="C6" s="268"/>
      <c r="D6" s="272"/>
      <c r="E6" s="52" t="s">
        <v>7</v>
      </c>
      <c r="F6" s="52" t="s">
        <v>6</v>
      </c>
      <c r="G6" s="52" t="s">
        <v>7</v>
      </c>
      <c r="H6" s="52" t="s">
        <v>6</v>
      </c>
      <c r="I6" s="52" t="s">
        <v>7</v>
      </c>
      <c r="J6" s="52" t="s">
        <v>6</v>
      </c>
      <c r="K6" s="268"/>
    </row>
    <row r="7" spans="1:11">
      <c r="A7" s="53">
        <v>1</v>
      </c>
      <c r="B7" s="54">
        <v>2</v>
      </c>
      <c r="C7" s="54">
        <v>3</v>
      </c>
      <c r="D7" s="54">
        <v>4</v>
      </c>
      <c r="E7" s="54">
        <v>5</v>
      </c>
      <c r="F7" s="54">
        <v>6</v>
      </c>
      <c r="G7" s="54">
        <v>7</v>
      </c>
      <c r="H7" s="54">
        <v>8</v>
      </c>
      <c r="I7" s="54">
        <v>9</v>
      </c>
      <c r="J7" s="54">
        <v>10</v>
      </c>
      <c r="K7" s="54">
        <v>11</v>
      </c>
    </row>
    <row r="8" spans="1:11">
      <c r="A8" s="35"/>
      <c r="B8" s="10" t="s">
        <v>73</v>
      </c>
      <c r="C8" s="55"/>
      <c r="D8" s="6"/>
      <c r="E8" s="6"/>
      <c r="F8" s="6">
        <f t="shared" ref="F8:F20" si="0">E8*D8</f>
        <v>0</v>
      </c>
      <c r="G8" s="6"/>
      <c r="H8" s="6">
        <f t="shared" ref="H8:H20" si="1">G8*D8</f>
        <v>0</v>
      </c>
      <c r="I8" s="6"/>
      <c r="J8" s="6">
        <f t="shared" ref="J8:J20" si="2">I8*D8</f>
        <v>0</v>
      </c>
      <c r="K8" s="6">
        <f t="shared" ref="K8:K20" si="3">J8+H8+F8</f>
        <v>0</v>
      </c>
    </row>
    <row r="9" spans="1:11">
      <c r="A9" s="35">
        <v>1</v>
      </c>
      <c r="B9" s="19" t="s">
        <v>65</v>
      </c>
      <c r="C9" s="55" t="s">
        <v>8</v>
      </c>
      <c r="D9" s="28">
        <v>100</v>
      </c>
      <c r="E9" s="6"/>
      <c r="F9" s="6">
        <f t="shared" si="0"/>
        <v>0</v>
      </c>
      <c r="G9" s="6">
        <v>15</v>
      </c>
      <c r="H9" s="6">
        <f t="shared" si="1"/>
        <v>1500</v>
      </c>
      <c r="I9" s="6"/>
      <c r="J9" s="6">
        <f t="shared" si="2"/>
        <v>0</v>
      </c>
      <c r="K9" s="6">
        <f t="shared" si="3"/>
        <v>1500</v>
      </c>
    </row>
    <row r="10" spans="1:11">
      <c r="A10" s="35"/>
      <c r="B10" s="33" t="s">
        <v>30</v>
      </c>
      <c r="C10" s="55" t="s">
        <v>13</v>
      </c>
      <c r="D10" s="31">
        <f>0.7*45</f>
        <v>31.499999999999996</v>
      </c>
      <c r="E10" s="6">
        <v>0.9</v>
      </c>
      <c r="F10" s="6">
        <f t="shared" si="0"/>
        <v>28.349999999999998</v>
      </c>
      <c r="G10" s="6"/>
      <c r="H10" s="6">
        <f t="shared" si="1"/>
        <v>0</v>
      </c>
      <c r="I10" s="6">
        <v>0.1</v>
      </c>
      <c r="J10" s="6">
        <f t="shared" si="2"/>
        <v>3.15</v>
      </c>
      <c r="K10" s="6">
        <f t="shared" si="3"/>
        <v>31.499999999999996</v>
      </c>
    </row>
    <row r="11" spans="1:11">
      <c r="A11" s="35"/>
      <c r="B11" s="20" t="s">
        <v>51</v>
      </c>
      <c r="C11" s="55" t="s">
        <v>13</v>
      </c>
      <c r="D11" s="31">
        <f>D9*0.35</f>
        <v>35</v>
      </c>
      <c r="E11" s="6">
        <v>12</v>
      </c>
      <c r="F11" s="6">
        <f t="shared" si="0"/>
        <v>420</v>
      </c>
      <c r="G11" s="6"/>
      <c r="H11" s="6">
        <f t="shared" si="1"/>
        <v>0</v>
      </c>
      <c r="I11" s="6">
        <v>0.1</v>
      </c>
      <c r="J11" s="6">
        <f t="shared" si="2"/>
        <v>3.5</v>
      </c>
      <c r="K11" s="6">
        <f t="shared" si="3"/>
        <v>423.5</v>
      </c>
    </row>
    <row r="12" spans="1:11">
      <c r="A12" s="35"/>
      <c r="B12" s="20" t="s">
        <v>42</v>
      </c>
      <c r="C12" s="55" t="s">
        <v>13</v>
      </c>
      <c r="D12" s="31">
        <f>D9*0.15</f>
        <v>15</v>
      </c>
      <c r="E12" s="6">
        <v>5</v>
      </c>
      <c r="F12" s="6">
        <f t="shared" si="0"/>
        <v>75</v>
      </c>
      <c r="G12" s="6"/>
      <c r="H12" s="6">
        <f t="shared" si="1"/>
        <v>0</v>
      </c>
      <c r="I12" s="6">
        <v>0.1</v>
      </c>
      <c r="J12" s="6">
        <f t="shared" si="2"/>
        <v>1.5</v>
      </c>
      <c r="K12" s="6">
        <f t="shared" si="3"/>
        <v>76.5</v>
      </c>
    </row>
    <row r="13" spans="1:11">
      <c r="A13" s="35"/>
      <c r="B13" s="33" t="s">
        <v>31</v>
      </c>
      <c r="C13" s="55" t="s">
        <v>8</v>
      </c>
      <c r="D13" s="6">
        <f>0.009*D9</f>
        <v>0.89999999999999991</v>
      </c>
      <c r="E13" s="6">
        <v>25</v>
      </c>
      <c r="F13" s="6">
        <f t="shared" si="0"/>
        <v>22.499999999999996</v>
      </c>
      <c r="G13" s="6"/>
      <c r="H13" s="6">
        <f t="shared" si="1"/>
        <v>0</v>
      </c>
      <c r="I13" s="6">
        <v>0.1</v>
      </c>
      <c r="J13" s="6">
        <f t="shared" si="2"/>
        <v>0.09</v>
      </c>
      <c r="K13" s="6">
        <f t="shared" si="3"/>
        <v>22.589999999999996</v>
      </c>
    </row>
    <row r="14" spans="1:11">
      <c r="A14" s="35"/>
      <c r="B14" s="33" t="s">
        <v>37</v>
      </c>
      <c r="C14" s="55" t="s">
        <v>10</v>
      </c>
      <c r="D14" s="31">
        <f>0.5*D9</f>
        <v>50</v>
      </c>
      <c r="E14" s="6">
        <v>1.4</v>
      </c>
      <c r="F14" s="6">
        <f t="shared" si="0"/>
        <v>70</v>
      </c>
      <c r="G14" s="6"/>
      <c r="H14" s="6">
        <f t="shared" si="1"/>
        <v>0</v>
      </c>
      <c r="I14" s="6">
        <v>0.01</v>
      </c>
      <c r="J14" s="6">
        <f t="shared" si="2"/>
        <v>0.5</v>
      </c>
      <c r="K14" s="6">
        <f t="shared" si="3"/>
        <v>70.5</v>
      </c>
    </row>
    <row r="15" spans="1:11">
      <c r="A15" s="35"/>
      <c r="B15" s="33" t="s">
        <v>11</v>
      </c>
      <c r="C15" s="55" t="s">
        <v>12</v>
      </c>
      <c r="D15" s="6">
        <f>D9*0.01</f>
        <v>1</v>
      </c>
      <c r="E15" s="6">
        <v>8</v>
      </c>
      <c r="F15" s="6">
        <f t="shared" si="0"/>
        <v>8</v>
      </c>
      <c r="G15" s="6"/>
      <c r="H15" s="6">
        <f t="shared" si="1"/>
        <v>0</v>
      </c>
      <c r="I15" s="6"/>
      <c r="J15" s="6">
        <f t="shared" si="2"/>
        <v>0</v>
      </c>
      <c r="K15" s="6">
        <f t="shared" si="3"/>
        <v>8</v>
      </c>
    </row>
    <row r="16" spans="1:11" ht="27.75" customHeight="1">
      <c r="A16" s="35">
        <v>2</v>
      </c>
      <c r="B16" s="17" t="s">
        <v>32</v>
      </c>
      <c r="C16" s="55" t="s">
        <v>10</v>
      </c>
      <c r="D16" s="28">
        <v>25</v>
      </c>
      <c r="E16" s="6"/>
      <c r="F16" s="6">
        <f t="shared" si="0"/>
        <v>0</v>
      </c>
      <c r="G16" s="6">
        <v>5</v>
      </c>
      <c r="H16" s="6">
        <f t="shared" si="1"/>
        <v>125</v>
      </c>
      <c r="I16" s="6"/>
      <c r="J16" s="6">
        <f t="shared" si="2"/>
        <v>0</v>
      </c>
      <c r="K16" s="6">
        <f t="shared" si="3"/>
        <v>125</v>
      </c>
    </row>
    <row r="17" spans="1:11">
      <c r="A17" s="35"/>
      <c r="B17" s="5" t="s">
        <v>33</v>
      </c>
      <c r="C17" s="55" t="s">
        <v>10</v>
      </c>
      <c r="D17" s="6">
        <f>1.03*D16</f>
        <v>25.75</v>
      </c>
      <c r="E17" s="6">
        <v>11</v>
      </c>
      <c r="F17" s="6">
        <f t="shared" si="0"/>
        <v>283.25</v>
      </c>
      <c r="G17" s="6"/>
      <c r="H17" s="6">
        <f t="shared" si="1"/>
        <v>0</v>
      </c>
      <c r="I17" s="6">
        <v>0.2</v>
      </c>
      <c r="J17" s="6">
        <f t="shared" si="2"/>
        <v>5.15</v>
      </c>
      <c r="K17" s="6">
        <f t="shared" si="3"/>
        <v>288.39999999999998</v>
      </c>
    </row>
    <row r="18" spans="1:11">
      <c r="A18" s="35"/>
      <c r="B18" s="5" t="s">
        <v>35</v>
      </c>
      <c r="C18" s="55" t="s">
        <v>27</v>
      </c>
      <c r="D18" s="6">
        <f>D16*4</f>
        <v>100</v>
      </c>
      <c r="E18" s="6">
        <v>0.04</v>
      </c>
      <c r="F18" s="6">
        <f t="shared" si="0"/>
        <v>4</v>
      </c>
      <c r="G18" s="6"/>
      <c r="H18" s="6">
        <f t="shared" si="1"/>
        <v>0</v>
      </c>
      <c r="I18" s="6">
        <v>0.01</v>
      </c>
      <c r="J18" s="6">
        <f t="shared" si="2"/>
        <v>1</v>
      </c>
      <c r="K18" s="6">
        <f t="shared" si="3"/>
        <v>5</v>
      </c>
    </row>
    <row r="19" spans="1:11">
      <c r="A19" s="35"/>
      <c r="B19" s="5" t="s">
        <v>34</v>
      </c>
      <c r="C19" s="55" t="s">
        <v>27</v>
      </c>
      <c r="D19" s="6">
        <v>15</v>
      </c>
      <c r="E19" s="6">
        <v>14</v>
      </c>
      <c r="F19" s="6">
        <f t="shared" si="0"/>
        <v>210</v>
      </c>
      <c r="G19" s="6"/>
      <c r="H19" s="6">
        <f t="shared" si="1"/>
        <v>0</v>
      </c>
      <c r="I19" s="6">
        <v>0.1</v>
      </c>
      <c r="J19" s="6">
        <f t="shared" si="2"/>
        <v>1.5</v>
      </c>
      <c r="K19" s="6">
        <f t="shared" si="3"/>
        <v>211.5</v>
      </c>
    </row>
    <row r="20" spans="1:11">
      <c r="A20" s="35"/>
      <c r="B20" s="5" t="s">
        <v>11</v>
      </c>
      <c r="C20" s="55" t="s">
        <v>12</v>
      </c>
      <c r="D20" s="6">
        <f>D16*0.03</f>
        <v>0.75</v>
      </c>
      <c r="E20" s="6">
        <v>8</v>
      </c>
      <c r="F20" s="6">
        <f t="shared" si="0"/>
        <v>6</v>
      </c>
      <c r="G20" s="6"/>
      <c r="H20" s="6">
        <f t="shared" si="1"/>
        <v>0</v>
      </c>
      <c r="I20" s="6"/>
      <c r="J20" s="6">
        <f t="shared" si="2"/>
        <v>0</v>
      </c>
      <c r="K20" s="6">
        <f t="shared" si="3"/>
        <v>6</v>
      </c>
    </row>
    <row r="21" spans="1:11">
      <c r="A21" s="22"/>
      <c r="B21" s="7" t="s">
        <v>6</v>
      </c>
      <c r="C21" s="55"/>
      <c r="D21" s="6"/>
      <c r="E21" s="6"/>
      <c r="F21" s="6">
        <f>SUM(F8:F20)</f>
        <v>1127.0999999999999</v>
      </c>
      <c r="G21" s="6"/>
      <c r="H21" s="6">
        <f>SUM(H8:H20)</f>
        <v>1625</v>
      </c>
      <c r="I21" s="6"/>
      <c r="J21" s="6">
        <f>SUM(J8:J20)</f>
        <v>16.39</v>
      </c>
      <c r="K21" s="6">
        <f>SUM(K8:K20)</f>
        <v>2768.4900000000002</v>
      </c>
    </row>
    <row r="22" spans="1:11">
      <c r="A22" s="8"/>
      <c r="B22" s="13" t="s">
        <v>14</v>
      </c>
      <c r="C22" s="56">
        <v>0.05</v>
      </c>
      <c r="D22" s="16"/>
      <c r="E22" s="15"/>
      <c r="F22" s="16"/>
      <c r="G22" s="16"/>
      <c r="H22" s="16"/>
      <c r="I22" s="16"/>
      <c r="J22" s="15"/>
      <c r="K22" s="16">
        <f>K21*C22</f>
        <v>138.42450000000002</v>
      </c>
    </row>
    <row r="23" spans="1:11">
      <c r="A23" s="8"/>
      <c r="B23" s="18" t="s">
        <v>6</v>
      </c>
      <c r="C23" s="57"/>
      <c r="D23" s="16"/>
      <c r="E23" s="15"/>
      <c r="F23" s="15"/>
      <c r="G23" s="16"/>
      <c r="H23" s="16"/>
      <c r="I23" s="16"/>
      <c r="J23" s="15"/>
      <c r="K23" s="16">
        <f>K22+K21</f>
        <v>2906.9145000000003</v>
      </c>
    </row>
    <row r="24" spans="1:11">
      <c r="A24" s="8"/>
      <c r="B24" s="13" t="s">
        <v>15</v>
      </c>
      <c r="C24" s="56">
        <v>0.1</v>
      </c>
      <c r="D24" s="16"/>
      <c r="E24" s="15"/>
      <c r="F24" s="15"/>
      <c r="G24" s="16"/>
      <c r="H24" s="16"/>
      <c r="I24" s="16"/>
      <c r="J24" s="15"/>
      <c r="K24" s="16">
        <f>K23*C24</f>
        <v>290.69145000000003</v>
      </c>
    </row>
    <row r="25" spans="1:11">
      <c r="A25" s="8"/>
      <c r="B25" s="18" t="s">
        <v>6</v>
      </c>
      <c r="C25" s="57"/>
      <c r="D25" s="16"/>
      <c r="E25" s="15"/>
      <c r="F25" s="15"/>
      <c r="G25" s="16"/>
      <c r="H25" s="16"/>
      <c r="I25" s="16"/>
      <c r="J25" s="15"/>
      <c r="K25" s="16">
        <f>SUM(K23:K24)</f>
        <v>3197.6059500000001</v>
      </c>
    </row>
    <row r="26" spans="1:11">
      <c r="A26" s="8"/>
      <c r="B26" s="13" t="s">
        <v>16</v>
      </c>
      <c r="C26" s="56">
        <v>0.08</v>
      </c>
      <c r="D26" s="16"/>
      <c r="E26" s="15"/>
      <c r="F26" s="15"/>
      <c r="G26" s="16"/>
      <c r="H26" s="16"/>
      <c r="I26" s="16"/>
      <c r="J26" s="15"/>
      <c r="K26" s="16">
        <f>K25*C26</f>
        <v>255.80847600000001</v>
      </c>
    </row>
    <row r="27" spans="1:11">
      <c r="A27" s="14"/>
      <c r="B27" s="18" t="s">
        <v>6</v>
      </c>
      <c r="C27" s="57"/>
      <c r="D27" s="16"/>
      <c r="E27" s="15"/>
      <c r="F27" s="15"/>
      <c r="G27" s="16"/>
      <c r="H27" s="16"/>
      <c r="I27" s="16"/>
      <c r="J27" s="15"/>
      <c r="K27" s="16">
        <f>SUM(K25:K26)</f>
        <v>3453.4144260000003</v>
      </c>
    </row>
    <row r="28" spans="1:11">
      <c r="A28" s="14"/>
      <c r="B28" s="13" t="s">
        <v>19</v>
      </c>
      <c r="C28" s="56">
        <v>0.03</v>
      </c>
      <c r="D28" s="16"/>
      <c r="E28" s="15"/>
      <c r="F28" s="15"/>
      <c r="G28" s="16"/>
      <c r="H28" s="16"/>
      <c r="I28" s="16"/>
      <c r="J28" s="15"/>
      <c r="K28" s="16">
        <f>K27*C28</f>
        <v>103.60243278</v>
      </c>
    </row>
    <row r="29" spans="1:11">
      <c r="A29" s="14"/>
      <c r="B29" s="13" t="s">
        <v>28</v>
      </c>
      <c r="C29" s="56">
        <v>0.02</v>
      </c>
      <c r="D29" s="16"/>
      <c r="E29" s="15"/>
      <c r="F29" s="15"/>
      <c r="G29" s="16"/>
      <c r="H29" s="16"/>
      <c r="I29" s="16"/>
      <c r="J29" s="15"/>
      <c r="K29" s="16">
        <f>H21*C29</f>
        <v>32.5</v>
      </c>
    </row>
    <row r="30" spans="1:11">
      <c r="A30" s="14"/>
      <c r="B30" s="18" t="s">
        <v>6</v>
      </c>
      <c r="C30" s="57"/>
      <c r="D30" s="16"/>
      <c r="E30" s="15"/>
      <c r="F30" s="15"/>
      <c r="G30" s="16"/>
      <c r="H30" s="16"/>
      <c r="I30" s="16"/>
      <c r="J30" s="15"/>
      <c r="K30" s="16">
        <f>K29+K28+K27</f>
        <v>3589.5168587800003</v>
      </c>
    </row>
    <row r="31" spans="1:11">
      <c r="A31" s="8"/>
      <c r="B31" s="8" t="s">
        <v>17</v>
      </c>
      <c r="C31" s="56">
        <v>0.18</v>
      </c>
      <c r="D31" s="16"/>
      <c r="E31" s="15"/>
      <c r="F31" s="15"/>
      <c r="G31" s="15"/>
      <c r="H31" s="15"/>
      <c r="I31" s="15"/>
      <c r="J31" s="15"/>
      <c r="K31" s="16">
        <f>K30*C31</f>
        <v>646.11303458040004</v>
      </c>
    </row>
    <row r="32" spans="1:11">
      <c r="A32" s="7"/>
      <c r="B32" s="11" t="s">
        <v>18</v>
      </c>
      <c r="C32" s="4"/>
      <c r="D32" s="7"/>
      <c r="E32" s="7"/>
      <c r="F32" s="7"/>
      <c r="G32" s="7"/>
      <c r="H32" s="7"/>
      <c r="I32" s="7"/>
      <c r="J32" s="7"/>
      <c r="K32" s="25">
        <f>K31+K30</f>
        <v>4235.6298933604003</v>
      </c>
    </row>
  </sheetData>
  <mergeCells count="13">
    <mergeCell ref="I5:J5"/>
    <mergeCell ref="K5:K6"/>
    <mergeCell ref="A5:A6"/>
    <mergeCell ref="B5:B6"/>
    <mergeCell ref="C5:C6"/>
    <mergeCell ref="D5:D6"/>
    <mergeCell ref="E5:F5"/>
    <mergeCell ref="G5:H5"/>
    <mergeCell ref="B2:K2"/>
    <mergeCell ref="A3:K3"/>
    <mergeCell ref="E4:H4"/>
    <mergeCell ref="A1:K1"/>
    <mergeCell ref="I4:K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K66"/>
  <sheetViews>
    <sheetView topLeftCell="A4" workbookViewId="0">
      <selection activeCell="A9" sqref="A9:XFD16"/>
    </sheetView>
  </sheetViews>
  <sheetFormatPr defaultColWidth="8.81640625" defaultRowHeight="14.5"/>
  <cols>
    <col min="1" max="1" width="4.453125" customWidth="1"/>
    <col min="2" max="2" width="74.453125" customWidth="1"/>
    <col min="4" max="4" width="10.36328125" customWidth="1"/>
    <col min="8" max="8" width="9.453125" bestFit="1" customWidth="1"/>
    <col min="11" max="11" width="11.453125" customWidth="1"/>
  </cols>
  <sheetData>
    <row r="1" spans="1:11" ht="18" customHeight="1">
      <c r="A1" s="334" t="s">
        <v>45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</row>
    <row r="2" spans="1:11">
      <c r="A2" s="43"/>
      <c r="B2" s="332" t="s">
        <v>67</v>
      </c>
      <c r="C2" s="332"/>
      <c r="D2" s="332"/>
      <c r="E2" s="332"/>
      <c r="F2" s="332"/>
      <c r="G2" s="332"/>
      <c r="H2" s="332"/>
      <c r="I2" s="332"/>
      <c r="J2" s="332"/>
      <c r="K2" s="332"/>
    </row>
    <row r="3" spans="1:11">
      <c r="A3" s="333" t="s">
        <v>36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</row>
    <row r="4" spans="1:11" ht="18" customHeight="1">
      <c r="A4" s="44"/>
      <c r="B4" s="45" t="s">
        <v>44</v>
      </c>
      <c r="C4" s="46"/>
      <c r="D4" s="46"/>
      <c r="E4" s="259" t="s">
        <v>22</v>
      </c>
      <c r="F4" s="259"/>
      <c r="G4" s="259"/>
      <c r="H4" s="259"/>
      <c r="I4" s="335">
        <f>K47</f>
        <v>2376.7384026599998</v>
      </c>
      <c r="J4" s="335"/>
      <c r="K4" s="335"/>
    </row>
    <row r="5" spans="1:11" ht="15" customHeight="1">
      <c r="A5" s="267" t="s">
        <v>26</v>
      </c>
      <c r="B5" s="267" t="s">
        <v>0</v>
      </c>
      <c r="C5" s="267" t="s">
        <v>1</v>
      </c>
      <c r="D5" s="271" t="s">
        <v>2</v>
      </c>
      <c r="E5" s="273" t="s">
        <v>3</v>
      </c>
      <c r="F5" s="274"/>
      <c r="G5" s="273" t="s">
        <v>4</v>
      </c>
      <c r="H5" s="274"/>
      <c r="I5" s="265" t="s">
        <v>5</v>
      </c>
      <c r="J5" s="266"/>
      <c r="K5" s="267" t="s">
        <v>6</v>
      </c>
    </row>
    <row r="6" spans="1:11">
      <c r="A6" s="268"/>
      <c r="B6" s="268"/>
      <c r="C6" s="268"/>
      <c r="D6" s="272"/>
      <c r="E6" s="60" t="s">
        <v>7</v>
      </c>
      <c r="F6" s="52" t="s">
        <v>6</v>
      </c>
      <c r="G6" s="60" t="s">
        <v>7</v>
      </c>
      <c r="H6" s="52" t="s">
        <v>6</v>
      </c>
      <c r="I6" s="60" t="s">
        <v>7</v>
      </c>
      <c r="J6" s="52" t="s">
        <v>6</v>
      </c>
      <c r="K6" s="268"/>
    </row>
    <row r="7" spans="1:11">
      <c r="A7" s="53">
        <v>1</v>
      </c>
      <c r="B7" s="54">
        <v>2</v>
      </c>
      <c r="C7" s="54">
        <v>3</v>
      </c>
      <c r="D7" s="54">
        <v>4</v>
      </c>
      <c r="E7" s="54">
        <v>5</v>
      </c>
      <c r="F7" s="54">
        <v>6</v>
      </c>
      <c r="G7" s="54">
        <v>7</v>
      </c>
      <c r="H7" s="54">
        <v>8</v>
      </c>
      <c r="I7" s="54">
        <v>9</v>
      </c>
      <c r="J7" s="54">
        <v>10</v>
      </c>
      <c r="K7" s="54">
        <v>11</v>
      </c>
    </row>
    <row r="8" spans="1:11" ht="31.75" customHeight="1">
      <c r="A8" s="35"/>
      <c r="B8" s="66" t="s">
        <v>66</v>
      </c>
      <c r="C8" s="53"/>
      <c r="D8" s="6"/>
      <c r="E8" s="6"/>
      <c r="F8" s="6"/>
      <c r="G8" s="6"/>
      <c r="H8" s="6"/>
      <c r="I8" s="6"/>
      <c r="J8" s="6"/>
      <c r="K8" s="6"/>
    </row>
    <row r="9" spans="1:11">
      <c r="A9" s="35">
        <v>1</v>
      </c>
      <c r="B9" s="27" t="s">
        <v>85</v>
      </c>
      <c r="C9" s="24" t="s">
        <v>8</v>
      </c>
      <c r="D9" s="28">
        <v>22</v>
      </c>
      <c r="E9" s="28"/>
      <c r="F9" s="6">
        <f t="shared" ref="F9:F35" si="0">E9*D9</f>
        <v>0</v>
      </c>
      <c r="G9" s="28">
        <v>14</v>
      </c>
      <c r="H9" s="6">
        <f t="shared" ref="H9:H35" si="1">G9*D9</f>
        <v>308</v>
      </c>
      <c r="I9" s="28"/>
      <c r="J9" s="6">
        <f t="shared" ref="J9:J35" si="2">I9*D9</f>
        <v>0</v>
      </c>
      <c r="K9" s="6">
        <f t="shared" ref="K9:K35" si="3">J9+H9+F9</f>
        <v>308</v>
      </c>
    </row>
    <row r="10" spans="1:11">
      <c r="A10" s="35">
        <v>2</v>
      </c>
      <c r="B10" s="27" t="s">
        <v>84</v>
      </c>
      <c r="C10" s="24" t="s">
        <v>8</v>
      </c>
      <c r="D10" s="28">
        <v>3</v>
      </c>
      <c r="E10" s="28"/>
      <c r="F10" s="6">
        <f t="shared" ref="F10" si="4">E10*D10</f>
        <v>0</v>
      </c>
      <c r="G10" s="28">
        <v>18</v>
      </c>
      <c r="H10" s="6">
        <f t="shared" ref="H10" si="5">G10*D10</f>
        <v>54</v>
      </c>
      <c r="I10" s="28"/>
      <c r="J10" s="6">
        <f t="shared" ref="J10" si="6">I10*D10</f>
        <v>0</v>
      </c>
      <c r="K10" s="6">
        <f t="shared" ref="K10" si="7">J10+H10+F10</f>
        <v>54</v>
      </c>
    </row>
    <row r="11" spans="1:11">
      <c r="A11" s="35"/>
      <c r="B11" s="63" t="s">
        <v>79</v>
      </c>
      <c r="C11" s="24" t="s">
        <v>8</v>
      </c>
      <c r="D11" s="28">
        <f>D9*1.05+D10*2.1</f>
        <v>29.400000000000002</v>
      </c>
      <c r="E11" s="28">
        <v>5.5</v>
      </c>
      <c r="F11" s="6">
        <f t="shared" si="0"/>
        <v>161.70000000000002</v>
      </c>
      <c r="G11" s="28"/>
      <c r="H11" s="6">
        <f t="shared" si="1"/>
        <v>0</v>
      </c>
      <c r="I11" s="28"/>
      <c r="J11" s="6">
        <f t="shared" si="2"/>
        <v>0</v>
      </c>
      <c r="K11" s="6">
        <f t="shared" si="3"/>
        <v>161.70000000000002</v>
      </c>
    </row>
    <row r="12" spans="1:11" ht="27">
      <c r="A12" s="35"/>
      <c r="B12" s="9" t="s">
        <v>80</v>
      </c>
      <c r="C12" s="24" t="s">
        <v>8</v>
      </c>
      <c r="D12" s="28">
        <f>D10</f>
        <v>3</v>
      </c>
      <c r="E12" s="28">
        <v>14</v>
      </c>
      <c r="F12" s="6">
        <f t="shared" si="0"/>
        <v>42</v>
      </c>
      <c r="G12" s="28"/>
      <c r="H12" s="6">
        <f t="shared" si="1"/>
        <v>0</v>
      </c>
      <c r="I12" s="28">
        <v>0.5</v>
      </c>
      <c r="J12" s="6">
        <f t="shared" si="2"/>
        <v>1.5</v>
      </c>
      <c r="K12" s="6">
        <f t="shared" si="3"/>
        <v>43.5</v>
      </c>
    </row>
    <row r="13" spans="1:11" ht="27">
      <c r="A13" s="35"/>
      <c r="B13" s="21" t="s">
        <v>81</v>
      </c>
      <c r="C13" s="24" t="s">
        <v>8</v>
      </c>
      <c r="D13" s="28">
        <f>D9</f>
        <v>22</v>
      </c>
      <c r="E13" s="28">
        <v>10</v>
      </c>
      <c r="F13" s="6">
        <f t="shared" si="0"/>
        <v>220</v>
      </c>
      <c r="G13" s="28"/>
      <c r="H13" s="6">
        <f t="shared" si="1"/>
        <v>0</v>
      </c>
      <c r="I13" s="28">
        <v>0.5</v>
      </c>
      <c r="J13" s="6">
        <f t="shared" si="2"/>
        <v>11</v>
      </c>
      <c r="K13" s="6">
        <f t="shared" si="3"/>
        <v>231</v>
      </c>
    </row>
    <row r="14" spans="1:11">
      <c r="A14" s="35"/>
      <c r="B14" s="21" t="s">
        <v>82</v>
      </c>
      <c r="C14" s="24" t="s">
        <v>8</v>
      </c>
      <c r="D14" s="28">
        <f>D10</f>
        <v>3</v>
      </c>
      <c r="E14" s="28">
        <v>9</v>
      </c>
      <c r="F14" s="6">
        <f t="shared" si="0"/>
        <v>27</v>
      </c>
      <c r="G14" s="28"/>
      <c r="H14" s="6">
        <f t="shared" si="1"/>
        <v>0</v>
      </c>
      <c r="I14" s="28"/>
      <c r="J14" s="6">
        <f t="shared" si="2"/>
        <v>0</v>
      </c>
      <c r="K14" s="6">
        <f t="shared" si="3"/>
        <v>27</v>
      </c>
    </row>
    <row r="15" spans="1:11">
      <c r="A15" s="35"/>
      <c r="B15" s="21" t="s">
        <v>40</v>
      </c>
      <c r="C15" s="24" t="s">
        <v>10</v>
      </c>
      <c r="D15" s="28">
        <v>3</v>
      </c>
      <c r="E15" s="28">
        <v>2</v>
      </c>
      <c r="F15" s="6">
        <f t="shared" si="0"/>
        <v>6</v>
      </c>
      <c r="G15" s="28"/>
      <c r="H15" s="6">
        <f t="shared" si="1"/>
        <v>0</v>
      </c>
      <c r="I15" s="28"/>
      <c r="J15" s="6">
        <f t="shared" si="2"/>
        <v>0</v>
      </c>
      <c r="K15" s="6">
        <f t="shared" si="3"/>
        <v>6</v>
      </c>
    </row>
    <row r="16" spans="1:11">
      <c r="A16" s="35"/>
      <c r="B16" s="21" t="s">
        <v>11</v>
      </c>
      <c r="C16" s="24" t="s">
        <v>12</v>
      </c>
      <c r="D16" s="28">
        <f>D8*0.1+D9*0.08</f>
        <v>1.76</v>
      </c>
      <c r="E16" s="28">
        <v>5</v>
      </c>
      <c r="F16" s="6">
        <f t="shared" si="0"/>
        <v>8.8000000000000007</v>
      </c>
      <c r="G16" s="28"/>
      <c r="H16" s="6">
        <f t="shared" si="1"/>
        <v>0</v>
      </c>
      <c r="I16" s="28"/>
      <c r="J16" s="6">
        <f t="shared" si="2"/>
        <v>0</v>
      </c>
      <c r="K16" s="6">
        <f t="shared" si="3"/>
        <v>8.8000000000000007</v>
      </c>
    </row>
    <row r="17" spans="1:11">
      <c r="A17" s="35"/>
      <c r="B17" s="21"/>
      <c r="C17" s="24"/>
      <c r="D17" s="28"/>
      <c r="E17" s="28"/>
      <c r="F17" s="6"/>
      <c r="G17" s="28"/>
      <c r="H17" s="6"/>
      <c r="I17" s="28"/>
      <c r="J17" s="6"/>
      <c r="K17" s="6"/>
    </row>
    <row r="18" spans="1:11">
      <c r="A18" s="35"/>
      <c r="B18" s="21"/>
      <c r="C18" s="24"/>
      <c r="D18" s="28"/>
      <c r="E18" s="28"/>
      <c r="F18" s="6"/>
      <c r="G18" s="28"/>
      <c r="H18" s="6"/>
      <c r="I18" s="28"/>
      <c r="J18" s="6"/>
      <c r="K18" s="6"/>
    </row>
    <row r="19" spans="1:11">
      <c r="A19" s="35"/>
      <c r="B19" s="21"/>
      <c r="C19" s="24"/>
      <c r="D19" s="28"/>
      <c r="E19" s="28"/>
      <c r="F19" s="6"/>
      <c r="G19" s="28"/>
      <c r="H19" s="6"/>
      <c r="I19" s="28"/>
      <c r="J19" s="6"/>
      <c r="K19" s="6"/>
    </row>
    <row r="20" spans="1:11">
      <c r="A20" s="35"/>
      <c r="B20" s="21"/>
      <c r="C20" s="24"/>
      <c r="D20" s="28"/>
      <c r="E20" s="28"/>
      <c r="F20" s="6"/>
      <c r="G20" s="28"/>
      <c r="H20" s="6"/>
      <c r="I20" s="28"/>
      <c r="J20" s="6"/>
      <c r="K20" s="6"/>
    </row>
    <row r="21" spans="1:11">
      <c r="A21" s="35"/>
      <c r="B21" s="21"/>
      <c r="C21" s="24"/>
      <c r="D21" s="28"/>
      <c r="E21" s="28"/>
      <c r="F21" s="6"/>
      <c r="G21" s="28"/>
      <c r="H21" s="6"/>
      <c r="I21" s="28"/>
      <c r="J21" s="6"/>
      <c r="K21" s="6"/>
    </row>
    <row r="22" spans="1:11">
      <c r="A22" s="35"/>
      <c r="B22" s="21"/>
      <c r="C22" s="24"/>
      <c r="D22" s="28"/>
      <c r="E22" s="28"/>
      <c r="F22" s="6"/>
      <c r="G22" s="28"/>
      <c r="H22" s="6"/>
      <c r="I22" s="28"/>
      <c r="J22" s="6"/>
      <c r="K22" s="6"/>
    </row>
    <row r="23" spans="1:11">
      <c r="A23" s="35"/>
      <c r="B23" s="21"/>
      <c r="C23" s="24"/>
      <c r="D23" s="28"/>
      <c r="E23" s="28"/>
      <c r="F23" s="6"/>
      <c r="G23" s="28"/>
      <c r="H23" s="6"/>
      <c r="I23" s="28"/>
      <c r="J23" s="6"/>
      <c r="K23" s="6"/>
    </row>
    <row r="24" spans="1:11">
      <c r="A24" s="35"/>
      <c r="B24" s="21"/>
      <c r="C24" s="24"/>
      <c r="D24" s="28"/>
      <c r="E24" s="28"/>
      <c r="F24" s="6"/>
      <c r="G24" s="28"/>
      <c r="H24" s="6"/>
      <c r="I24" s="28"/>
      <c r="J24" s="6"/>
      <c r="K24" s="6"/>
    </row>
    <row r="25" spans="1:11">
      <c r="A25" s="35"/>
      <c r="B25" s="21"/>
      <c r="C25" s="24"/>
      <c r="D25" s="28"/>
      <c r="E25" s="28"/>
      <c r="F25" s="6"/>
      <c r="G25" s="28"/>
      <c r="H25" s="6"/>
      <c r="I25" s="28"/>
      <c r="J25" s="6"/>
      <c r="K25" s="6"/>
    </row>
    <row r="26" spans="1:11">
      <c r="A26" s="35"/>
      <c r="B26" s="21"/>
      <c r="C26" s="24"/>
      <c r="D26" s="28"/>
      <c r="E26" s="28"/>
      <c r="F26" s="6"/>
      <c r="G26" s="28"/>
      <c r="H26" s="6"/>
      <c r="I26" s="28"/>
      <c r="J26" s="6"/>
      <c r="K26" s="6"/>
    </row>
    <row r="27" spans="1:11">
      <c r="A27" s="35">
        <v>2</v>
      </c>
      <c r="B27" s="19" t="s">
        <v>83</v>
      </c>
      <c r="C27" s="24" t="s">
        <v>8</v>
      </c>
      <c r="D27" s="28">
        <v>25</v>
      </c>
      <c r="E27" s="6"/>
      <c r="F27" s="6">
        <f t="shared" si="0"/>
        <v>0</v>
      </c>
      <c r="G27" s="6">
        <v>8</v>
      </c>
      <c r="H27" s="6">
        <f t="shared" si="1"/>
        <v>200</v>
      </c>
      <c r="I27" s="6"/>
      <c r="J27" s="6">
        <f t="shared" si="2"/>
        <v>0</v>
      </c>
      <c r="K27" s="6">
        <f t="shared" si="3"/>
        <v>200</v>
      </c>
    </row>
    <row r="28" spans="1:11">
      <c r="A28" s="35"/>
      <c r="B28" s="5" t="s">
        <v>30</v>
      </c>
      <c r="C28" s="23" t="s">
        <v>13</v>
      </c>
      <c r="D28" s="6">
        <f>0.7*D27</f>
        <v>17.5</v>
      </c>
      <c r="E28" s="6">
        <v>1.25</v>
      </c>
      <c r="F28" s="6">
        <f t="shared" si="0"/>
        <v>21.875</v>
      </c>
      <c r="G28" s="6"/>
      <c r="H28" s="6">
        <f t="shared" si="1"/>
        <v>0</v>
      </c>
      <c r="I28" s="6"/>
      <c r="J28" s="6">
        <f t="shared" si="2"/>
        <v>0</v>
      </c>
      <c r="K28" s="6">
        <f t="shared" si="3"/>
        <v>21.875</v>
      </c>
    </row>
    <row r="29" spans="1:11">
      <c r="A29" s="35"/>
      <c r="B29" s="20" t="s">
        <v>41</v>
      </c>
      <c r="C29" s="23" t="s">
        <v>13</v>
      </c>
      <c r="D29" s="6">
        <f>D27*0.35</f>
        <v>8.75</v>
      </c>
      <c r="E29" s="6">
        <v>9.6999999999999993</v>
      </c>
      <c r="F29" s="6">
        <f t="shared" si="0"/>
        <v>84.875</v>
      </c>
      <c r="G29" s="6"/>
      <c r="H29" s="6">
        <f t="shared" si="1"/>
        <v>0</v>
      </c>
      <c r="I29" s="6"/>
      <c r="J29" s="6">
        <f t="shared" si="2"/>
        <v>0</v>
      </c>
      <c r="K29" s="6">
        <f t="shared" si="3"/>
        <v>84.875</v>
      </c>
    </row>
    <row r="30" spans="1:11">
      <c r="A30" s="35"/>
      <c r="B30" s="20" t="s">
        <v>42</v>
      </c>
      <c r="C30" s="23" t="s">
        <v>13</v>
      </c>
      <c r="D30" s="6">
        <f>D27*0.15</f>
        <v>3.75</v>
      </c>
      <c r="E30" s="6">
        <v>5</v>
      </c>
      <c r="F30" s="6">
        <f t="shared" si="0"/>
        <v>18.75</v>
      </c>
      <c r="G30" s="6"/>
      <c r="H30" s="6">
        <f t="shared" si="1"/>
        <v>0</v>
      </c>
      <c r="I30" s="6"/>
      <c r="J30" s="6">
        <f t="shared" si="2"/>
        <v>0</v>
      </c>
      <c r="K30" s="6">
        <f t="shared" si="3"/>
        <v>18.75</v>
      </c>
    </row>
    <row r="31" spans="1:11">
      <c r="A31" s="35"/>
      <c r="B31" s="5" t="s">
        <v>31</v>
      </c>
      <c r="C31" s="23" t="s">
        <v>8</v>
      </c>
      <c r="D31" s="6">
        <f>0.009*D27</f>
        <v>0.22499999999999998</v>
      </c>
      <c r="E31" s="6">
        <v>10</v>
      </c>
      <c r="F31" s="6">
        <f t="shared" si="0"/>
        <v>2.25</v>
      </c>
      <c r="G31" s="6"/>
      <c r="H31" s="6">
        <f t="shared" si="1"/>
        <v>0</v>
      </c>
      <c r="I31" s="6"/>
      <c r="J31" s="6">
        <f t="shared" si="2"/>
        <v>0</v>
      </c>
      <c r="K31" s="6">
        <f t="shared" si="3"/>
        <v>2.25</v>
      </c>
    </row>
    <row r="32" spans="1:11">
      <c r="A32" s="35"/>
      <c r="B32" s="5" t="s">
        <v>38</v>
      </c>
      <c r="C32" s="23" t="s">
        <v>10</v>
      </c>
      <c r="D32" s="6">
        <v>1500</v>
      </c>
      <c r="E32" s="6">
        <v>0.2</v>
      </c>
      <c r="F32" s="6">
        <f t="shared" si="0"/>
        <v>300</v>
      </c>
      <c r="G32" s="6"/>
      <c r="H32" s="6">
        <f t="shared" si="1"/>
        <v>0</v>
      </c>
      <c r="I32" s="6"/>
      <c r="J32" s="6">
        <f t="shared" si="2"/>
        <v>0</v>
      </c>
      <c r="K32" s="6">
        <f t="shared" si="3"/>
        <v>300</v>
      </c>
    </row>
    <row r="33" spans="1:11">
      <c r="A33" s="35"/>
      <c r="B33" s="5" t="s">
        <v>37</v>
      </c>
      <c r="C33" s="23" t="s">
        <v>10</v>
      </c>
      <c r="D33" s="6">
        <f>0.5*D27</f>
        <v>12.5</v>
      </c>
      <c r="E33" s="6">
        <v>3</v>
      </c>
      <c r="F33" s="6">
        <f t="shared" si="0"/>
        <v>37.5</v>
      </c>
      <c r="G33" s="6"/>
      <c r="H33" s="6">
        <f t="shared" si="1"/>
        <v>0</v>
      </c>
      <c r="I33" s="6"/>
      <c r="J33" s="6">
        <f t="shared" si="2"/>
        <v>0</v>
      </c>
      <c r="K33" s="6">
        <f t="shared" si="3"/>
        <v>37.5</v>
      </c>
    </row>
    <row r="34" spans="1:11">
      <c r="A34" s="35"/>
      <c r="B34" s="5" t="s">
        <v>11</v>
      </c>
      <c r="C34" s="23" t="s">
        <v>12</v>
      </c>
      <c r="D34" s="6">
        <f>D27*0.01</f>
        <v>0.25</v>
      </c>
      <c r="E34" s="6">
        <v>15</v>
      </c>
      <c r="F34" s="6">
        <f t="shared" si="0"/>
        <v>3.75</v>
      </c>
      <c r="G34" s="6"/>
      <c r="H34" s="6">
        <f t="shared" si="1"/>
        <v>0</v>
      </c>
      <c r="I34" s="6"/>
      <c r="J34" s="6">
        <f t="shared" si="2"/>
        <v>0</v>
      </c>
      <c r="K34" s="6">
        <f t="shared" si="3"/>
        <v>3.75</v>
      </c>
    </row>
    <row r="35" spans="1:11" ht="27">
      <c r="A35" s="35">
        <v>3</v>
      </c>
      <c r="B35" s="9" t="s">
        <v>77</v>
      </c>
      <c r="C35" s="53" t="s">
        <v>23</v>
      </c>
      <c r="D35" s="6">
        <f>1.1</f>
        <v>1.1000000000000001</v>
      </c>
      <c r="E35" s="6"/>
      <c r="F35" s="6">
        <f t="shared" si="0"/>
        <v>0</v>
      </c>
      <c r="G35" s="6">
        <v>25</v>
      </c>
      <c r="H35" s="64">
        <f t="shared" si="1"/>
        <v>27.500000000000004</v>
      </c>
      <c r="I35" s="6">
        <v>20</v>
      </c>
      <c r="J35" s="6">
        <f t="shared" si="2"/>
        <v>22</v>
      </c>
      <c r="K35" s="6">
        <f t="shared" si="3"/>
        <v>49.5</v>
      </c>
    </row>
    <row r="36" spans="1:11">
      <c r="A36" s="22"/>
      <c r="B36" s="7" t="s">
        <v>6</v>
      </c>
      <c r="C36" s="53"/>
      <c r="D36" s="6"/>
      <c r="E36" s="6"/>
      <c r="F36" s="6">
        <f>SUM(F8:F35)</f>
        <v>934.5</v>
      </c>
      <c r="G36" s="6"/>
      <c r="H36" s="6">
        <f>SUM(H8:H35)</f>
        <v>589.5</v>
      </c>
      <c r="I36" s="6"/>
      <c r="J36" s="6">
        <f>SUM(J8:J35)</f>
        <v>34.5</v>
      </c>
      <c r="K36" s="6">
        <f>SUM(K8:K35)</f>
        <v>1558.5</v>
      </c>
    </row>
    <row r="37" spans="1:11">
      <c r="A37" s="8"/>
      <c r="B37" s="13" t="s">
        <v>14</v>
      </c>
      <c r="C37" s="59">
        <v>0.05</v>
      </c>
      <c r="D37" s="16"/>
      <c r="E37" s="15"/>
      <c r="F37" s="16"/>
      <c r="G37" s="16"/>
      <c r="H37" s="16"/>
      <c r="I37" s="16"/>
      <c r="J37" s="15"/>
      <c r="K37" s="16">
        <f>K36*C37</f>
        <v>77.925000000000011</v>
      </c>
    </row>
    <row r="38" spans="1:11">
      <c r="A38" s="8"/>
      <c r="B38" s="18" t="s">
        <v>6</v>
      </c>
      <c r="C38" s="52"/>
      <c r="D38" s="16"/>
      <c r="E38" s="15"/>
      <c r="F38" s="15"/>
      <c r="G38" s="16"/>
      <c r="H38" s="16"/>
      <c r="I38" s="16"/>
      <c r="J38" s="15"/>
      <c r="K38" s="16">
        <f>K37+K36</f>
        <v>1636.425</v>
      </c>
    </row>
    <row r="39" spans="1:11">
      <c r="A39" s="8"/>
      <c r="B39" s="13" t="s">
        <v>15</v>
      </c>
      <c r="C39" s="59">
        <v>0.1</v>
      </c>
      <c r="D39" s="16"/>
      <c r="E39" s="15"/>
      <c r="F39" s="15"/>
      <c r="G39" s="16"/>
      <c r="H39" s="16"/>
      <c r="I39" s="16"/>
      <c r="J39" s="15"/>
      <c r="K39" s="16">
        <f>K38*C39</f>
        <v>163.64250000000001</v>
      </c>
    </row>
    <row r="40" spans="1:11">
      <c r="A40" s="8"/>
      <c r="B40" s="18" t="s">
        <v>6</v>
      </c>
      <c r="C40" s="52"/>
      <c r="D40" s="16"/>
      <c r="E40" s="15"/>
      <c r="F40" s="15"/>
      <c r="G40" s="16"/>
      <c r="H40" s="16"/>
      <c r="I40" s="16"/>
      <c r="J40" s="15"/>
      <c r="K40" s="16">
        <f>SUM(K38:K39)</f>
        <v>1800.0674999999999</v>
      </c>
    </row>
    <row r="41" spans="1:11">
      <c r="A41" s="8"/>
      <c r="B41" s="13" t="s">
        <v>16</v>
      </c>
      <c r="C41" s="59">
        <v>0.08</v>
      </c>
      <c r="D41" s="16"/>
      <c r="E41" s="15"/>
      <c r="F41" s="15"/>
      <c r="G41" s="16"/>
      <c r="H41" s="16"/>
      <c r="I41" s="16"/>
      <c r="J41" s="15"/>
      <c r="K41" s="16">
        <f>K40*C41</f>
        <v>144.00539999999998</v>
      </c>
    </row>
    <row r="42" spans="1:11">
      <c r="A42" s="14"/>
      <c r="B42" s="18" t="s">
        <v>6</v>
      </c>
      <c r="C42" s="52"/>
      <c r="D42" s="16"/>
      <c r="E42" s="15"/>
      <c r="F42" s="15"/>
      <c r="G42" s="16"/>
      <c r="H42" s="16"/>
      <c r="I42" s="16"/>
      <c r="J42" s="15"/>
      <c r="K42" s="16">
        <f>SUM(K40:K41)</f>
        <v>1944.0728999999999</v>
      </c>
    </row>
    <row r="43" spans="1:11">
      <c r="A43" s="14"/>
      <c r="B43" s="13" t="s">
        <v>19</v>
      </c>
      <c r="C43" s="59">
        <v>0.03</v>
      </c>
      <c r="D43" s="16"/>
      <c r="E43" s="15"/>
      <c r="F43" s="15"/>
      <c r="G43" s="16"/>
      <c r="H43" s="16"/>
      <c r="I43" s="16"/>
      <c r="J43" s="15"/>
      <c r="K43" s="16">
        <f>K42*C43</f>
        <v>58.322186999999992</v>
      </c>
    </row>
    <row r="44" spans="1:11">
      <c r="A44" s="14"/>
      <c r="B44" s="13" t="s">
        <v>28</v>
      </c>
      <c r="C44" s="59">
        <v>0.02</v>
      </c>
      <c r="D44" s="16"/>
      <c r="E44" s="15"/>
      <c r="F44" s="15"/>
      <c r="G44" s="16"/>
      <c r="H44" s="16"/>
      <c r="I44" s="16"/>
      <c r="J44" s="15"/>
      <c r="K44" s="16">
        <f>H36*C44</f>
        <v>11.790000000000001</v>
      </c>
    </row>
    <row r="45" spans="1:11">
      <c r="A45" s="14"/>
      <c r="B45" s="18" t="s">
        <v>6</v>
      </c>
      <c r="C45" s="52"/>
      <c r="D45" s="16"/>
      <c r="E45" s="15"/>
      <c r="F45" s="15"/>
      <c r="G45" s="16"/>
      <c r="H45" s="16"/>
      <c r="I45" s="16"/>
      <c r="J45" s="15"/>
      <c r="K45" s="16">
        <f>K44+K43+K42</f>
        <v>2014.1850869999998</v>
      </c>
    </row>
    <row r="46" spans="1:11">
      <c r="A46" s="8"/>
      <c r="B46" s="8" t="s">
        <v>17</v>
      </c>
      <c r="C46" s="59">
        <v>0.18</v>
      </c>
      <c r="D46" s="16"/>
      <c r="E46" s="15"/>
      <c r="F46" s="15"/>
      <c r="G46" s="15"/>
      <c r="H46" s="15"/>
      <c r="I46" s="15"/>
      <c r="J46" s="15"/>
      <c r="K46" s="16">
        <f>K45*C46</f>
        <v>362.55331565999995</v>
      </c>
    </row>
    <row r="47" spans="1:11">
      <c r="A47" s="7"/>
      <c r="B47" s="11" t="s">
        <v>18</v>
      </c>
      <c r="C47" s="54"/>
      <c r="D47" s="7"/>
      <c r="E47" s="7"/>
      <c r="F47" s="7"/>
      <c r="G47" s="7"/>
      <c r="H47" s="7"/>
      <c r="I47" s="7"/>
      <c r="J47" s="7"/>
      <c r="K47" s="25">
        <f>K46+K45</f>
        <v>2376.7384026599998</v>
      </c>
    </row>
    <row r="51" spans="1:11">
      <c r="A51" s="35">
        <v>13</v>
      </c>
      <c r="B51" s="27" t="s">
        <v>78</v>
      </c>
      <c r="C51" s="24" t="s">
        <v>8</v>
      </c>
      <c r="D51" s="61">
        <v>90</v>
      </c>
      <c r="E51" s="61"/>
      <c r="F51" s="31">
        <f t="shared" ref="F51:F66" si="8">E51*D51</f>
        <v>0</v>
      </c>
      <c r="G51" s="61">
        <v>10</v>
      </c>
      <c r="H51" s="31">
        <f t="shared" ref="H51:H66" si="9">G51*D51</f>
        <v>900</v>
      </c>
      <c r="I51" s="61"/>
      <c r="J51" s="31">
        <f t="shared" ref="J51:J66" si="10">I51*D51</f>
        <v>0</v>
      </c>
      <c r="K51" s="31">
        <f t="shared" ref="K51:K66" si="11">J51+H51+F51</f>
        <v>900</v>
      </c>
    </row>
    <row r="52" spans="1:11">
      <c r="A52" s="35"/>
      <c r="B52" s="62" t="s">
        <v>43</v>
      </c>
      <c r="C52" s="24" t="s">
        <v>8</v>
      </c>
      <c r="D52" s="61">
        <f>D50*1.05</f>
        <v>0</v>
      </c>
      <c r="E52" s="61">
        <v>5.6</v>
      </c>
      <c r="F52" s="31">
        <f t="shared" si="8"/>
        <v>0</v>
      </c>
      <c r="G52" s="61"/>
      <c r="H52" s="31">
        <f t="shared" si="9"/>
        <v>0</v>
      </c>
      <c r="I52" s="61"/>
      <c r="J52" s="31">
        <f t="shared" si="10"/>
        <v>0</v>
      </c>
      <c r="K52" s="31">
        <f t="shared" si="11"/>
        <v>0</v>
      </c>
    </row>
    <row r="53" spans="1:11">
      <c r="A53" s="35"/>
      <c r="B53" s="63" t="s">
        <v>79</v>
      </c>
      <c r="C53" s="24" t="s">
        <v>8</v>
      </c>
      <c r="D53" s="61">
        <f>D51*1.05+D50*1.1</f>
        <v>94.5</v>
      </c>
      <c r="E53" s="61">
        <v>5</v>
      </c>
      <c r="F53" s="31">
        <f t="shared" si="8"/>
        <v>472.5</v>
      </c>
      <c r="G53" s="61"/>
      <c r="H53" s="31">
        <f t="shared" si="9"/>
        <v>0</v>
      </c>
      <c r="I53" s="61"/>
      <c r="J53" s="31">
        <f t="shared" si="10"/>
        <v>0</v>
      </c>
      <c r="K53" s="31">
        <f t="shared" si="11"/>
        <v>472.5</v>
      </c>
    </row>
    <row r="54" spans="1:11" ht="27">
      <c r="A54" s="35"/>
      <c r="B54" s="9" t="s">
        <v>80</v>
      </c>
      <c r="C54" s="24" t="s">
        <v>8</v>
      </c>
      <c r="D54" s="61">
        <f>D50</f>
        <v>0</v>
      </c>
      <c r="E54" s="61">
        <v>4</v>
      </c>
      <c r="F54" s="31">
        <f t="shared" si="8"/>
        <v>0</v>
      </c>
      <c r="G54" s="61"/>
      <c r="H54" s="31">
        <f t="shared" si="9"/>
        <v>0</v>
      </c>
      <c r="I54" s="61"/>
      <c r="J54" s="31">
        <f t="shared" si="10"/>
        <v>0</v>
      </c>
      <c r="K54" s="31">
        <f t="shared" si="11"/>
        <v>0</v>
      </c>
    </row>
    <row r="55" spans="1:11" ht="27">
      <c r="A55" s="35"/>
      <c r="B55" s="21" t="s">
        <v>81</v>
      </c>
      <c r="C55" s="24" t="s">
        <v>8</v>
      </c>
      <c r="D55" s="61">
        <f>D51</f>
        <v>90</v>
      </c>
      <c r="E55" s="61">
        <v>4</v>
      </c>
      <c r="F55" s="31">
        <f t="shared" si="8"/>
        <v>360</v>
      </c>
      <c r="G55" s="61"/>
      <c r="H55" s="31">
        <f t="shared" si="9"/>
        <v>0</v>
      </c>
      <c r="I55" s="61"/>
      <c r="J55" s="31">
        <f t="shared" si="10"/>
        <v>0</v>
      </c>
      <c r="K55" s="31">
        <f t="shared" si="11"/>
        <v>360</v>
      </c>
    </row>
    <row r="56" spans="1:11">
      <c r="A56" s="35"/>
      <c r="B56" s="21" t="s">
        <v>82</v>
      </c>
      <c r="C56" s="24" t="s">
        <v>8</v>
      </c>
      <c r="D56" s="61">
        <f>D50</f>
        <v>0</v>
      </c>
      <c r="E56" s="61">
        <v>9</v>
      </c>
      <c r="F56" s="31">
        <f t="shared" si="8"/>
        <v>0</v>
      </c>
      <c r="G56" s="61"/>
      <c r="H56" s="31">
        <f t="shared" si="9"/>
        <v>0</v>
      </c>
      <c r="I56" s="61"/>
      <c r="J56" s="31">
        <f t="shared" si="10"/>
        <v>0</v>
      </c>
      <c r="K56" s="31">
        <f t="shared" si="11"/>
        <v>0</v>
      </c>
    </row>
    <row r="57" spans="1:11">
      <c r="A57" s="35"/>
      <c r="B57" s="21" t="s">
        <v>40</v>
      </c>
      <c r="C57" s="24" t="s">
        <v>10</v>
      </c>
      <c r="D57" s="61">
        <v>12</v>
      </c>
      <c r="E57" s="61">
        <v>12</v>
      </c>
      <c r="F57" s="31">
        <f t="shared" si="8"/>
        <v>144</v>
      </c>
      <c r="G57" s="61"/>
      <c r="H57" s="31">
        <f t="shared" si="9"/>
        <v>0</v>
      </c>
      <c r="I57" s="61"/>
      <c r="J57" s="31">
        <f t="shared" si="10"/>
        <v>0</v>
      </c>
      <c r="K57" s="31">
        <f t="shared" si="11"/>
        <v>144</v>
      </c>
    </row>
    <row r="58" spans="1:11">
      <c r="A58" s="35"/>
      <c r="B58" s="21" t="s">
        <v>11</v>
      </c>
      <c r="C58" s="24" t="s">
        <v>12</v>
      </c>
      <c r="D58" s="61">
        <f>D50*0.1+D51*0.08</f>
        <v>7.2</v>
      </c>
      <c r="E58" s="61">
        <v>5</v>
      </c>
      <c r="F58" s="31">
        <f t="shared" si="8"/>
        <v>36</v>
      </c>
      <c r="G58" s="61"/>
      <c r="H58" s="31">
        <f t="shared" si="9"/>
        <v>0</v>
      </c>
      <c r="I58" s="61"/>
      <c r="J58" s="31">
        <f t="shared" si="10"/>
        <v>0</v>
      </c>
      <c r="K58" s="31">
        <f t="shared" si="11"/>
        <v>36</v>
      </c>
    </row>
    <row r="59" spans="1:11">
      <c r="A59" s="35">
        <v>14</v>
      </c>
      <c r="B59" s="19" t="s">
        <v>83</v>
      </c>
      <c r="C59" s="24" t="s">
        <v>8</v>
      </c>
      <c r="D59" s="61">
        <v>1650</v>
      </c>
      <c r="E59" s="31"/>
      <c r="F59" s="31">
        <f t="shared" si="8"/>
        <v>0</v>
      </c>
      <c r="G59" s="31">
        <v>8</v>
      </c>
      <c r="H59" s="31">
        <f t="shared" si="9"/>
        <v>13200</v>
      </c>
      <c r="I59" s="31"/>
      <c r="J59" s="31">
        <f t="shared" si="10"/>
        <v>0</v>
      </c>
      <c r="K59" s="31">
        <f t="shared" si="11"/>
        <v>13200</v>
      </c>
    </row>
    <row r="60" spans="1:11">
      <c r="A60" s="35"/>
      <c r="B60" s="5" t="s">
        <v>30</v>
      </c>
      <c r="C60" s="23" t="s">
        <v>13</v>
      </c>
      <c r="D60" s="31">
        <f>0.7*D59</f>
        <v>1155</v>
      </c>
      <c r="E60" s="31">
        <v>1.25</v>
      </c>
      <c r="F60" s="31">
        <f t="shared" si="8"/>
        <v>1443.75</v>
      </c>
      <c r="G60" s="31"/>
      <c r="H60" s="31">
        <f t="shared" si="9"/>
        <v>0</v>
      </c>
      <c r="I60" s="31"/>
      <c r="J60" s="31">
        <f t="shared" si="10"/>
        <v>0</v>
      </c>
      <c r="K60" s="31">
        <f t="shared" si="11"/>
        <v>1443.75</v>
      </c>
    </row>
    <row r="61" spans="1:11">
      <c r="A61" s="35"/>
      <c r="B61" s="20" t="s">
        <v>41</v>
      </c>
      <c r="C61" s="23" t="s">
        <v>13</v>
      </c>
      <c r="D61" s="31">
        <f>D59*0.35</f>
        <v>577.5</v>
      </c>
      <c r="E61" s="31">
        <v>9.6999999999999993</v>
      </c>
      <c r="F61" s="31">
        <f t="shared" si="8"/>
        <v>5601.75</v>
      </c>
      <c r="G61" s="31"/>
      <c r="H61" s="31">
        <f t="shared" si="9"/>
        <v>0</v>
      </c>
      <c r="I61" s="31"/>
      <c r="J61" s="31">
        <f t="shared" si="10"/>
        <v>0</v>
      </c>
      <c r="K61" s="31">
        <f t="shared" si="11"/>
        <v>5601.75</v>
      </c>
    </row>
    <row r="62" spans="1:11">
      <c r="A62" s="35"/>
      <c r="B62" s="20" t="s">
        <v>42</v>
      </c>
      <c r="C62" s="23" t="s">
        <v>13</v>
      </c>
      <c r="D62" s="31">
        <f>D59*0.15</f>
        <v>247.5</v>
      </c>
      <c r="E62" s="31">
        <v>5</v>
      </c>
      <c r="F62" s="31">
        <f t="shared" si="8"/>
        <v>1237.5</v>
      </c>
      <c r="G62" s="31"/>
      <c r="H62" s="31">
        <f t="shared" si="9"/>
        <v>0</v>
      </c>
      <c r="I62" s="31"/>
      <c r="J62" s="31">
        <f t="shared" si="10"/>
        <v>0</v>
      </c>
      <c r="K62" s="31">
        <f t="shared" si="11"/>
        <v>1237.5</v>
      </c>
    </row>
    <row r="63" spans="1:11">
      <c r="A63" s="35"/>
      <c r="B63" s="5" t="s">
        <v>31</v>
      </c>
      <c r="C63" s="23" t="s">
        <v>8</v>
      </c>
      <c r="D63" s="31">
        <f>0.009*D59</f>
        <v>14.85</v>
      </c>
      <c r="E63" s="31">
        <v>10</v>
      </c>
      <c r="F63" s="31">
        <f t="shared" si="8"/>
        <v>148.5</v>
      </c>
      <c r="G63" s="31"/>
      <c r="H63" s="31">
        <f t="shared" si="9"/>
        <v>0</v>
      </c>
      <c r="I63" s="31"/>
      <c r="J63" s="31">
        <f t="shared" si="10"/>
        <v>0</v>
      </c>
      <c r="K63" s="31">
        <f t="shared" si="11"/>
        <v>148.5</v>
      </c>
    </row>
    <row r="64" spans="1:11">
      <c r="A64" s="35"/>
      <c r="B64" s="5" t="s">
        <v>38</v>
      </c>
      <c r="C64" s="23" t="s">
        <v>10</v>
      </c>
      <c r="D64" s="31">
        <v>1500</v>
      </c>
      <c r="E64" s="31">
        <v>0.2</v>
      </c>
      <c r="F64" s="31">
        <f t="shared" si="8"/>
        <v>300</v>
      </c>
      <c r="G64" s="31"/>
      <c r="H64" s="31">
        <f t="shared" si="9"/>
        <v>0</v>
      </c>
      <c r="I64" s="31"/>
      <c r="J64" s="31">
        <f t="shared" si="10"/>
        <v>0</v>
      </c>
      <c r="K64" s="31">
        <f t="shared" si="11"/>
        <v>300</v>
      </c>
    </row>
    <row r="65" spans="1:11">
      <c r="A65" s="35"/>
      <c r="B65" s="5" t="s">
        <v>37</v>
      </c>
      <c r="C65" s="23" t="s">
        <v>10</v>
      </c>
      <c r="D65" s="31">
        <f>0.5*D59</f>
        <v>825</v>
      </c>
      <c r="E65" s="31">
        <v>3</v>
      </c>
      <c r="F65" s="31">
        <f t="shared" si="8"/>
        <v>2475</v>
      </c>
      <c r="G65" s="31"/>
      <c r="H65" s="31">
        <f t="shared" si="9"/>
        <v>0</v>
      </c>
      <c r="I65" s="31"/>
      <c r="J65" s="31">
        <f t="shared" si="10"/>
        <v>0</v>
      </c>
      <c r="K65" s="31">
        <f t="shared" si="11"/>
        <v>2475</v>
      </c>
    </row>
    <row r="66" spans="1:11">
      <c r="A66" s="35"/>
      <c r="B66" s="5" t="s">
        <v>11</v>
      </c>
      <c r="C66" s="23" t="s">
        <v>12</v>
      </c>
      <c r="D66" s="31">
        <f>D59*0.01</f>
        <v>16.5</v>
      </c>
      <c r="E66" s="31">
        <v>15</v>
      </c>
      <c r="F66" s="31">
        <f t="shared" si="8"/>
        <v>247.5</v>
      </c>
      <c r="G66" s="31"/>
      <c r="H66" s="31">
        <f t="shared" si="9"/>
        <v>0</v>
      </c>
      <c r="I66" s="31"/>
      <c r="J66" s="31">
        <f t="shared" si="10"/>
        <v>0</v>
      </c>
      <c r="K66" s="31">
        <f t="shared" si="11"/>
        <v>247.5</v>
      </c>
    </row>
  </sheetData>
  <mergeCells count="13">
    <mergeCell ref="B2:K2"/>
    <mergeCell ref="A3:K3"/>
    <mergeCell ref="E4:H4"/>
    <mergeCell ref="A1:K1"/>
    <mergeCell ref="I4:K4"/>
    <mergeCell ref="I5:J5"/>
    <mergeCell ref="K5:K6"/>
    <mergeCell ref="A5:A6"/>
    <mergeCell ref="B5:B6"/>
    <mergeCell ref="C5:C6"/>
    <mergeCell ref="D5:D6"/>
    <mergeCell ref="E5:F5"/>
    <mergeCell ref="G5:H5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 tint="4.9989318521683403E-2"/>
  </sheetPr>
  <dimension ref="A1:K44"/>
  <sheetViews>
    <sheetView workbookViewId="0">
      <selection activeCell="A3" sqref="A3:XFD3"/>
    </sheetView>
  </sheetViews>
  <sheetFormatPr defaultColWidth="8.81640625" defaultRowHeight="14.5"/>
  <cols>
    <col min="1" max="1" width="4" customWidth="1"/>
    <col min="2" max="2" width="69.453125" customWidth="1"/>
    <col min="3" max="3" width="6.6328125" customWidth="1"/>
    <col min="4" max="4" width="12" customWidth="1"/>
    <col min="9" max="9" width="10.36328125" customWidth="1"/>
    <col min="11" max="11" width="12.6328125" customWidth="1"/>
  </cols>
  <sheetData>
    <row r="1" spans="1:11" ht="15.75" customHeight="1">
      <c r="A1" s="334" t="s">
        <v>45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</row>
    <row r="2" spans="1:11">
      <c r="A2" s="43"/>
      <c r="B2" s="332" t="s">
        <v>59</v>
      </c>
      <c r="C2" s="332"/>
      <c r="D2" s="332"/>
      <c r="E2" s="332"/>
      <c r="F2" s="332"/>
      <c r="G2" s="332"/>
      <c r="H2" s="332"/>
      <c r="I2" s="332"/>
      <c r="J2" s="332"/>
      <c r="K2" s="332"/>
    </row>
    <row r="3" spans="1:11">
      <c r="A3" s="333" t="s">
        <v>36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</row>
    <row r="4" spans="1:11">
      <c r="A4" s="44"/>
      <c r="B4" s="45" t="s">
        <v>46</v>
      </c>
      <c r="C4" s="46"/>
      <c r="D4" s="46"/>
      <c r="E4" s="259" t="s">
        <v>22</v>
      </c>
      <c r="F4" s="259"/>
      <c r="G4" s="259"/>
      <c r="H4" s="259"/>
      <c r="I4" s="335">
        <f>K44</f>
        <v>25615.932543717405</v>
      </c>
      <c r="J4" s="335"/>
      <c r="K4" s="335"/>
    </row>
    <row r="5" spans="1:11">
      <c r="A5" s="298" t="s">
        <v>26</v>
      </c>
      <c r="B5" s="267" t="s">
        <v>0</v>
      </c>
      <c r="C5" s="267" t="s">
        <v>1</v>
      </c>
      <c r="D5" s="271" t="s">
        <v>2</v>
      </c>
      <c r="E5" s="273" t="s">
        <v>3</v>
      </c>
      <c r="F5" s="274"/>
      <c r="G5" s="273" t="s">
        <v>4</v>
      </c>
      <c r="H5" s="274"/>
      <c r="I5" s="265" t="s">
        <v>5</v>
      </c>
      <c r="J5" s="266"/>
      <c r="K5" s="267" t="s">
        <v>6</v>
      </c>
    </row>
    <row r="6" spans="1:11" ht="15.75" customHeight="1">
      <c r="A6" s="299"/>
      <c r="B6" s="268"/>
      <c r="C6" s="268"/>
      <c r="D6" s="272"/>
      <c r="E6" s="52" t="s">
        <v>7</v>
      </c>
      <c r="F6" s="52" t="s">
        <v>6</v>
      </c>
      <c r="G6" s="52" t="s">
        <v>7</v>
      </c>
      <c r="H6" s="52" t="s">
        <v>6</v>
      </c>
      <c r="I6" s="52" t="s">
        <v>7</v>
      </c>
      <c r="J6" s="52" t="s">
        <v>6</v>
      </c>
      <c r="K6" s="268"/>
    </row>
    <row r="7" spans="1:11">
      <c r="A7" s="53">
        <v>1</v>
      </c>
      <c r="B7" s="54">
        <v>2</v>
      </c>
      <c r="C7" s="54">
        <v>3</v>
      </c>
      <c r="D7" s="54">
        <v>4</v>
      </c>
      <c r="E7" s="54">
        <v>5</v>
      </c>
      <c r="F7" s="54">
        <v>6</v>
      </c>
      <c r="G7" s="54">
        <v>7</v>
      </c>
      <c r="H7" s="54">
        <v>8</v>
      </c>
      <c r="I7" s="54">
        <v>9</v>
      </c>
      <c r="J7" s="54">
        <v>10</v>
      </c>
      <c r="K7" s="54">
        <v>11</v>
      </c>
    </row>
    <row r="8" spans="1:11">
      <c r="A8" s="7"/>
      <c r="B8" s="10" t="s">
        <v>20</v>
      </c>
      <c r="C8" s="58"/>
      <c r="D8" s="17"/>
      <c r="E8" s="17"/>
      <c r="F8" s="17"/>
      <c r="G8" s="17"/>
      <c r="H8" s="17"/>
      <c r="I8" s="17"/>
      <c r="J8" s="17"/>
      <c r="K8" s="17"/>
    </row>
    <row r="9" spans="1:11">
      <c r="A9" s="35">
        <v>1</v>
      </c>
      <c r="B9" s="20" t="s">
        <v>58</v>
      </c>
      <c r="C9" s="53" t="s">
        <v>74</v>
      </c>
      <c r="D9" s="31">
        <v>62</v>
      </c>
      <c r="E9" s="6"/>
      <c r="F9" s="6">
        <f t="shared" ref="F9:F32" si="0">E9*D9</f>
        <v>0</v>
      </c>
      <c r="G9" s="6">
        <v>3</v>
      </c>
      <c r="H9" s="6">
        <f t="shared" ref="H9:H32" si="1">G9*D9</f>
        <v>186</v>
      </c>
      <c r="I9" s="6">
        <v>0.08</v>
      </c>
      <c r="J9" s="6">
        <f t="shared" ref="J9:J32" si="2">I9*D9</f>
        <v>4.96</v>
      </c>
      <c r="K9" s="6">
        <f t="shared" ref="K9:K32" si="3">J9+H9+F9</f>
        <v>190.96</v>
      </c>
    </row>
    <row r="10" spans="1:11">
      <c r="A10" s="35">
        <v>2</v>
      </c>
      <c r="B10" s="20" t="s">
        <v>60</v>
      </c>
      <c r="C10" s="53" t="s">
        <v>74</v>
      </c>
      <c r="D10" s="31">
        <v>45</v>
      </c>
      <c r="E10" s="6"/>
      <c r="F10" s="6">
        <f t="shared" si="0"/>
        <v>0</v>
      </c>
      <c r="G10" s="6">
        <v>3</v>
      </c>
      <c r="H10" s="6">
        <f t="shared" si="1"/>
        <v>135</v>
      </c>
      <c r="I10" s="6">
        <v>0.01</v>
      </c>
      <c r="J10" s="6">
        <f t="shared" si="2"/>
        <v>0.45</v>
      </c>
      <c r="K10" s="6">
        <f t="shared" si="3"/>
        <v>135.44999999999999</v>
      </c>
    </row>
    <row r="11" spans="1:11">
      <c r="A11" s="35">
        <v>3</v>
      </c>
      <c r="B11" s="9" t="s">
        <v>24</v>
      </c>
      <c r="C11" s="53" t="s">
        <v>75</v>
      </c>
      <c r="D11" s="6">
        <v>25.8</v>
      </c>
      <c r="E11" s="6"/>
      <c r="F11" s="6">
        <f t="shared" si="0"/>
        <v>0</v>
      </c>
      <c r="G11" s="6">
        <v>55</v>
      </c>
      <c r="H11" s="6">
        <f t="shared" si="1"/>
        <v>1419</v>
      </c>
      <c r="I11" s="6">
        <v>25</v>
      </c>
      <c r="J11" s="6">
        <f t="shared" si="2"/>
        <v>645</v>
      </c>
      <c r="K11" s="6">
        <f t="shared" si="3"/>
        <v>2064</v>
      </c>
    </row>
    <row r="12" spans="1:11">
      <c r="A12" s="35">
        <v>4</v>
      </c>
      <c r="B12" s="9" t="s">
        <v>25</v>
      </c>
      <c r="C12" s="53" t="s">
        <v>23</v>
      </c>
      <c r="D12" s="6">
        <f>D11*1.5</f>
        <v>38.700000000000003</v>
      </c>
      <c r="E12" s="6"/>
      <c r="F12" s="6">
        <f t="shared" si="0"/>
        <v>0</v>
      </c>
      <c r="G12" s="6">
        <v>25</v>
      </c>
      <c r="H12" s="6">
        <f t="shared" si="1"/>
        <v>967.50000000000011</v>
      </c>
      <c r="I12" s="6">
        <v>20</v>
      </c>
      <c r="J12" s="6">
        <f t="shared" si="2"/>
        <v>774</v>
      </c>
      <c r="K12" s="6">
        <f t="shared" si="3"/>
        <v>1741.5</v>
      </c>
    </row>
    <row r="13" spans="1:11">
      <c r="A13" s="35"/>
      <c r="B13" s="10" t="s">
        <v>21</v>
      </c>
      <c r="C13" s="53"/>
      <c r="D13" s="6"/>
      <c r="E13" s="6"/>
      <c r="F13" s="6">
        <f t="shared" si="0"/>
        <v>0</v>
      </c>
      <c r="G13" s="6"/>
      <c r="H13" s="6">
        <f t="shared" si="1"/>
        <v>0</v>
      </c>
      <c r="I13" s="6"/>
      <c r="J13" s="6">
        <f t="shared" si="2"/>
        <v>0</v>
      </c>
      <c r="K13" s="6">
        <f t="shared" si="3"/>
        <v>0</v>
      </c>
    </row>
    <row r="14" spans="1:11">
      <c r="A14" s="35">
        <v>1</v>
      </c>
      <c r="B14" s="38" t="s">
        <v>61</v>
      </c>
      <c r="C14" s="53" t="s">
        <v>8</v>
      </c>
      <c r="D14" s="6">
        <v>62</v>
      </c>
      <c r="E14" s="41"/>
      <c r="F14" s="6">
        <f t="shared" si="0"/>
        <v>0</v>
      </c>
      <c r="G14" s="6">
        <v>15</v>
      </c>
      <c r="H14" s="6">
        <f t="shared" si="1"/>
        <v>930</v>
      </c>
      <c r="I14" s="41"/>
      <c r="J14" s="6">
        <f t="shared" si="2"/>
        <v>0</v>
      </c>
      <c r="K14" s="6">
        <f t="shared" si="3"/>
        <v>930</v>
      </c>
    </row>
    <row r="15" spans="1:11">
      <c r="A15" s="39"/>
      <c r="B15" s="9" t="s">
        <v>62</v>
      </c>
      <c r="C15" s="53" t="s">
        <v>8</v>
      </c>
      <c r="D15" s="6">
        <f>D14*1.1</f>
        <v>68.2</v>
      </c>
      <c r="E15" s="6">
        <v>10</v>
      </c>
      <c r="F15" s="6">
        <f t="shared" si="0"/>
        <v>682</v>
      </c>
      <c r="G15" s="6"/>
      <c r="H15" s="6">
        <f t="shared" si="1"/>
        <v>0</v>
      </c>
      <c r="I15" s="6">
        <v>1</v>
      </c>
      <c r="J15" s="6">
        <f t="shared" si="2"/>
        <v>68.2</v>
      </c>
      <c r="K15" s="6">
        <f t="shared" si="3"/>
        <v>750.2</v>
      </c>
    </row>
    <row r="16" spans="1:11">
      <c r="A16" s="39"/>
      <c r="B16" s="40" t="s">
        <v>63</v>
      </c>
      <c r="C16" s="53" t="s">
        <v>10</v>
      </c>
      <c r="D16" s="6">
        <f>D14*1.1</f>
        <v>68.2</v>
      </c>
      <c r="E16" s="6">
        <v>5</v>
      </c>
      <c r="F16" s="6">
        <f t="shared" si="0"/>
        <v>341</v>
      </c>
      <c r="G16" s="6"/>
      <c r="H16" s="6">
        <f t="shared" si="1"/>
        <v>0</v>
      </c>
      <c r="I16" s="6">
        <v>0.1</v>
      </c>
      <c r="J16" s="6">
        <f t="shared" si="2"/>
        <v>6.82</v>
      </c>
      <c r="K16" s="6">
        <f t="shared" si="3"/>
        <v>347.82</v>
      </c>
    </row>
    <row r="17" spans="1:11">
      <c r="A17" s="39"/>
      <c r="B17" s="20" t="s">
        <v>64</v>
      </c>
      <c r="C17" s="53" t="s">
        <v>27</v>
      </c>
      <c r="D17" s="6">
        <f>D14*10</f>
        <v>620</v>
      </c>
      <c r="E17" s="6">
        <v>0.03</v>
      </c>
      <c r="F17" s="6">
        <f t="shared" si="0"/>
        <v>18.599999999999998</v>
      </c>
      <c r="G17" s="6"/>
      <c r="H17" s="6">
        <f t="shared" si="1"/>
        <v>0</v>
      </c>
      <c r="I17" s="6">
        <v>0.01</v>
      </c>
      <c r="J17" s="6">
        <f t="shared" si="2"/>
        <v>6.2</v>
      </c>
      <c r="K17" s="6">
        <f t="shared" si="3"/>
        <v>24.799999999999997</v>
      </c>
    </row>
    <row r="18" spans="1:11">
      <c r="A18" s="39"/>
      <c r="B18" s="9" t="s">
        <v>11</v>
      </c>
      <c r="C18" s="53" t="s">
        <v>12</v>
      </c>
      <c r="D18" s="6">
        <f>D14*0.5</f>
        <v>31</v>
      </c>
      <c r="E18" s="6">
        <v>4</v>
      </c>
      <c r="F18" s="6">
        <f t="shared" si="0"/>
        <v>124</v>
      </c>
      <c r="G18" s="6"/>
      <c r="H18" s="6">
        <f t="shared" si="1"/>
        <v>0</v>
      </c>
      <c r="I18" s="6"/>
      <c r="J18" s="6">
        <f t="shared" si="2"/>
        <v>0</v>
      </c>
      <c r="K18" s="6">
        <f t="shared" si="3"/>
        <v>124</v>
      </c>
    </row>
    <row r="19" spans="1:11">
      <c r="A19" s="35">
        <v>2</v>
      </c>
      <c r="B19" s="19" t="s">
        <v>65</v>
      </c>
      <c r="C19" s="55" t="s">
        <v>8</v>
      </c>
      <c r="D19" s="28">
        <v>250</v>
      </c>
      <c r="E19" s="6"/>
      <c r="F19" s="6">
        <f t="shared" si="0"/>
        <v>0</v>
      </c>
      <c r="G19" s="6">
        <v>15</v>
      </c>
      <c r="H19" s="6">
        <f t="shared" si="1"/>
        <v>3750</v>
      </c>
      <c r="I19" s="6"/>
      <c r="J19" s="6">
        <f t="shared" si="2"/>
        <v>0</v>
      </c>
      <c r="K19" s="6">
        <f t="shared" si="3"/>
        <v>3750</v>
      </c>
    </row>
    <row r="20" spans="1:11">
      <c r="A20" s="35"/>
      <c r="B20" s="33" t="s">
        <v>30</v>
      </c>
      <c r="C20" s="53" t="s">
        <v>13</v>
      </c>
      <c r="D20" s="31">
        <f>0.7*45</f>
        <v>31.499999999999996</v>
      </c>
      <c r="E20" s="6">
        <v>0.9</v>
      </c>
      <c r="F20" s="6">
        <f t="shared" si="0"/>
        <v>28.349999999999998</v>
      </c>
      <c r="G20" s="6"/>
      <c r="H20" s="6">
        <f t="shared" si="1"/>
        <v>0</v>
      </c>
      <c r="I20" s="6">
        <v>0.1</v>
      </c>
      <c r="J20" s="6">
        <f t="shared" si="2"/>
        <v>3.15</v>
      </c>
      <c r="K20" s="6">
        <f t="shared" si="3"/>
        <v>31.499999999999996</v>
      </c>
    </row>
    <row r="21" spans="1:11">
      <c r="A21" s="35"/>
      <c r="B21" s="20" t="s">
        <v>51</v>
      </c>
      <c r="C21" s="53" t="s">
        <v>13</v>
      </c>
      <c r="D21" s="31">
        <f>D19*0.35</f>
        <v>87.5</v>
      </c>
      <c r="E21" s="6">
        <v>12</v>
      </c>
      <c r="F21" s="6">
        <f t="shared" si="0"/>
        <v>1050</v>
      </c>
      <c r="G21" s="6"/>
      <c r="H21" s="6">
        <f t="shared" si="1"/>
        <v>0</v>
      </c>
      <c r="I21" s="6">
        <v>0.1</v>
      </c>
      <c r="J21" s="6">
        <f t="shared" si="2"/>
        <v>8.75</v>
      </c>
      <c r="K21" s="6">
        <f t="shared" si="3"/>
        <v>1058.75</v>
      </c>
    </row>
    <row r="22" spans="1:11">
      <c r="A22" s="35"/>
      <c r="B22" s="20" t="s">
        <v>42</v>
      </c>
      <c r="C22" s="53" t="s">
        <v>13</v>
      </c>
      <c r="D22" s="31">
        <f>D19*0.15</f>
        <v>37.5</v>
      </c>
      <c r="E22" s="6">
        <v>5</v>
      </c>
      <c r="F22" s="6">
        <f t="shared" si="0"/>
        <v>187.5</v>
      </c>
      <c r="G22" s="6"/>
      <c r="H22" s="6">
        <f t="shared" si="1"/>
        <v>0</v>
      </c>
      <c r="I22" s="6">
        <v>0.1</v>
      </c>
      <c r="J22" s="6">
        <f t="shared" si="2"/>
        <v>3.75</v>
      </c>
      <c r="K22" s="6">
        <f t="shared" si="3"/>
        <v>191.25</v>
      </c>
    </row>
    <row r="23" spans="1:11">
      <c r="A23" s="35"/>
      <c r="B23" s="33" t="s">
        <v>31</v>
      </c>
      <c r="C23" s="53" t="s">
        <v>8</v>
      </c>
      <c r="D23" s="6">
        <f>0.009*D19</f>
        <v>2.25</v>
      </c>
      <c r="E23" s="6">
        <v>25</v>
      </c>
      <c r="F23" s="6">
        <f t="shared" si="0"/>
        <v>56.25</v>
      </c>
      <c r="G23" s="6"/>
      <c r="H23" s="6">
        <f t="shared" si="1"/>
        <v>0</v>
      </c>
      <c r="I23" s="6">
        <v>0.1</v>
      </c>
      <c r="J23" s="6">
        <f t="shared" si="2"/>
        <v>0.22500000000000001</v>
      </c>
      <c r="K23" s="6">
        <f t="shared" si="3"/>
        <v>56.475000000000001</v>
      </c>
    </row>
    <row r="24" spans="1:11">
      <c r="A24" s="35"/>
      <c r="B24" s="33" t="s">
        <v>37</v>
      </c>
      <c r="C24" s="53" t="s">
        <v>10</v>
      </c>
      <c r="D24" s="31">
        <f>0.5*D19</f>
        <v>125</v>
      </c>
      <c r="E24" s="6">
        <v>1.4</v>
      </c>
      <c r="F24" s="6">
        <f t="shared" si="0"/>
        <v>175</v>
      </c>
      <c r="G24" s="6"/>
      <c r="H24" s="6">
        <f t="shared" si="1"/>
        <v>0</v>
      </c>
      <c r="I24" s="6">
        <v>0.01</v>
      </c>
      <c r="J24" s="6">
        <f t="shared" si="2"/>
        <v>1.25</v>
      </c>
      <c r="K24" s="6">
        <f t="shared" si="3"/>
        <v>176.25</v>
      </c>
    </row>
    <row r="25" spans="1:11">
      <c r="A25" s="35"/>
      <c r="B25" s="33" t="s">
        <v>11</v>
      </c>
      <c r="C25" s="53" t="s">
        <v>12</v>
      </c>
      <c r="D25" s="6">
        <f>D19*0.01</f>
        <v>2.5</v>
      </c>
      <c r="E25" s="6">
        <v>8</v>
      </c>
      <c r="F25" s="6">
        <f t="shared" si="0"/>
        <v>20</v>
      </c>
      <c r="G25" s="6"/>
      <c r="H25" s="6">
        <f t="shared" si="1"/>
        <v>0</v>
      </c>
      <c r="I25" s="6"/>
      <c r="J25" s="6">
        <f t="shared" si="2"/>
        <v>0</v>
      </c>
      <c r="K25" s="6">
        <f t="shared" si="3"/>
        <v>20</v>
      </c>
    </row>
    <row r="26" spans="1:11">
      <c r="A26" s="35">
        <v>3</v>
      </c>
      <c r="B26" s="12" t="s">
        <v>32</v>
      </c>
      <c r="C26" s="55" t="s">
        <v>10</v>
      </c>
      <c r="D26" s="28">
        <v>110</v>
      </c>
      <c r="E26" s="6"/>
      <c r="F26" s="6">
        <f t="shared" si="0"/>
        <v>0</v>
      </c>
      <c r="G26" s="6">
        <v>7</v>
      </c>
      <c r="H26" s="6">
        <f t="shared" si="1"/>
        <v>770</v>
      </c>
      <c r="I26" s="6"/>
      <c r="J26" s="6">
        <f t="shared" si="2"/>
        <v>0</v>
      </c>
      <c r="K26" s="6">
        <f t="shared" si="3"/>
        <v>770</v>
      </c>
    </row>
    <row r="27" spans="1:11">
      <c r="A27" s="35"/>
      <c r="B27" s="5" t="s">
        <v>33</v>
      </c>
      <c r="C27" s="53" t="s">
        <v>10</v>
      </c>
      <c r="D27" s="6">
        <f>1.03*D26</f>
        <v>113.3</v>
      </c>
      <c r="E27" s="6">
        <v>11</v>
      </c>
      <c r="F27" s="6">
        <f t="shared" si="0"/>
        <v>1246.3</v>
      </c>
      <c r="G27" s="6"/>
      <c r="H27" s="6">
        <f t="shared" si="1"/>
        <v>0</v>
      </c>
      <c r="I27" s="6">
        <v>0.2</v>
      </c>
      <c r="J27" s="6">
        <f t="shared" si="2"/>
        <v>22.66</v>
      </c>
      <c r="K27" s="6">
        <f t="shared" si="3"/>
        <v>1268.96</v>
      </c>
    </row>
    <row r="28" spans="1:11">
      <c r="A28" s="35"/>
      <c r="B28" s="5" t="s">
        <v>35</v>
      </c>
      <c r="C28" s="53" t="s">
        <v>27</v>
      </c>
      <c r="D28" s="6">
        <f>D26*4</f>
        <v>440</v>
      </c>
      <c r="E28" s="6">
        <v>0.04</v>
      </c>
      <c r="F28" s="6">
        <f t="shared" si="0"/>
        <v>17.600000000000001</v>
      </c>
      <c r="G28" s="6"/>
      <c r="H28" s="6">
        <f t="shared" si="1"/>
        <v>0</v>
      </c>
      <c r="I28" s="6">
        <v>0.01</v>
      </c>
      <c r="J28" s="6">
        <f t="shared" si="2"/>
        <v>4.4000000000000004</v>
      </c>
      <c r="K28" s="6">
        <f t="shared" si="3"/>
        <v>22</v>
      </c>
    </row>
    <row r="29" spans="1:11">
      <c r="A29" s="35"/>
      <c r="B29" s="5" t="s">
        <v>34</v>
      </c>
      <c r="C29" s="53" t="s">
        <v>27</v>
      </c>
      <c r="D29" s="6">
        <v>15</v>
      </c>
      <c r="E29" s="6">
        <v>14</v>
      </c>
      <c r="F29" s="6">
        <f t="shared" si="0"/>
        <v>210</v>
      </c>
      <c r="G29" s="6"/>
      <c r="H29" s="6">
        <f t="shared" si="1"/>
        <v>0</v>
      </c>
      <c r="I29" s="6">
        <v>0.1</v>
      </c>
      <c r="J29" s="6">
        <f t="shared" si="2"/>
        <v>1.5</v>
      </c>
      <c r="K29" s="6">
        <f t="shared" si="3"/>
        <v>211.5</v>
      </c>
    </row>
    <row r="30" spans="1:11">
      <c r="A30" s="35"/>
      <c r="B30" s="5" t="s">
        <v>11</v>
      </c>
      <c r="C30" s="53" t="s">
        <v>12</v>
      </c>
      <c r="D30" s="6">
        <f>D26*0.03</f>
        <v>3.3</v>
      </c>
      <c r="E30" s="6">
        <v>8</v>
      </c>
      <c r="F30" s="6">
        <f t="shared" si="0"/>
        <v>26.4</v>
      </c>
      <c r="G30" s="6"/>
      <c r="H30" s="6">
        <f t="shared" si="1"/>
        <v>0</v>
      </c>
      <c r="I30" s="6"/>
      <c r="J30" s="6">
        <f t="shared" si="2"/>
        <v>0</v>
      </c>
      <c r="K30" s="6">
        <f t="shared" si="3"/>
        <v>26.4</v>
      </c>
    </row>
    <row r="31" spans="1:11">
      <c r="A31" s="35">
        <v>4</v>
      </c>
      <c r="B31" s="9" t="s">
        <v>24</v>
      </c>
      <c r="C31" s="53" t="s">
        <v>75</v>
      </c>
      <c r="D31" s="6">
        <v>22</v>
      </c>
      <c r="E31" s="6"/>
      <c r="F31" s="6">
        <f t="shared" si="0"/>
        <v>0</v>
      </c>
      <c r="G31" s="6">
        <v>55</v>
      </c>
      <c r="H31" s="6">
        <f t="shared" si="1"/>
        <v>1210</v>
      </c>
      <c r="I31" s="6">
        <v>25</v>
      </c>
      <c r="J31" s="6">
        <f t="shared" si="2"/>
        <v>550</v>
      </c>
      <c r="K31" s="6">
        <f t="shared" si="3"/>
        <v>1760</v>
      </c>
    </row>
    <row r="32" spans="1:11">
      <c r="A32" s="35">
        <v>5</v>
      </c>
      <c r="B32" s="9" t="s">
        <v>25</v>
      </c>
      <c r="C32" s="53" t="s">
        <v>23</v>
      </c>
      <c r="D32" s="6">
        <f>D31*1.1</f>
        <v>24.200000000000003</v>
      </c>
      <c r="E32" s="6"/>
      <c r="F32" s="6">
        <f t="shared" si="0"/>
        <v>0</v>
      </c>
      <c r="G32" s="6">
        <v>25</v>
      </c>
      <c r="H32" s="6">
        <f t="shared" si="1"/>
        <v>605.00000000000011</v>
      </c>
      <c r="I32" s="6">
        <v>20</v>
      </c>
      <c r="J32" s="6">
        <f t="shared" si="2"/>
        <v>484.00000000000006</v>
      </c>
      <c r="K32" s="6">
        <f t="shared" si="3"/>
        <v>1089.0000000000002</v>
      </c>
    </row>
    <row r="33" spans="1:11">
      <c r="A33" s="22"/>
      <c r="B33" s="7" t="s">
        <v>6</v>
      </c>
      <c r="C33" s="53"/>
      <c r="D33" s="6"/>
      <c r="E33" s="6"/>
      <c r="F33" s="6">
        <f>SUM(F9:F32)</f>
        <v>4183</v>
      </c>
      <c r="G33" s="6"/>
      <c r="H33" s="6">
        <f>SUM(H9:H32)</f>
        <v>9972.5</v>
      </c>
      <c r="I33" s="6"/>
      <c r="J33" s="6">
        <f>SUM(J9:J32)</f>
        <v>2585.3150000000001</v>
      </c>
      <c r="K33" s="6">
        <f>SUM(K9:K32)</f>
        <v>16740.815000000002</v>
      </c>
    </row>
    <row r="34" spans="1:11">
      <c r="A34" s="8"/>
      <c r="B34" s="13" t="s">
        <v>14</v>
      </c>
      <c r="C34" s="59">
        <v>0.05</v>
      </c>
      <c r="D34" s="16"/>
      <c r="E34" s="15"/>
      <c r="F34" s="16"/>
      <c r="G34" s="16"/>
      <c r="H34" s="16"/>
      <c r="I34" s="16"/>
      <c r="J34" s="15"/>
      <c r="K34" s="16">
        <f>K33*C34</f>
        <v>837.04075000000012</v>
      </c>
    </row>
    <row r="35" spans="1:11">
      <c r="A35" s="8"/>
      <c r="B35" s="18" t="s">
        <v>6</v>
      </c>
      <c r="C35" s="52"/>
      <c r="D35" s="16"/>
      <c r="E35" s="15"/>
      <c r="F35" s="15"/>
      <c r="G35" s="16"/>
      <c r="H35" s="16"/>
      <c r="I35" s="16"/>
      <c r="J35" s="15"/>
      <c r="K35" s="16">
        <f>K34+K33</f>
        <v>17577.855750000002</v>
      </c>
    </row>
    <row r="36" spans="1:11">
      <c r="A36" s="8"/>
      <c r="B36" s="13" t="s">
        <v>15</v>
      </c>
      <c r="C36" s="59">
        <v>0.1</v>
      </c>
      <c r="D36" s="16"/>
      <c r="E36" s="15"/>
      <c r="F36" s="15"/>
      <c r="G36" s="16"/>
      <c r="H36" s="16"/>
      <c r="I36" s="16"/>
      <c r="J36" s="15"/>
      <c r="K36" s="16">
        <f>K35*C36</f>
        <v>1757.7855750000003</v>
      </c>
    </row>
    <row r="37" spans="1:11">
      <c r="A37" s="8"/>
      <c r="B37" s="18" t="s">
        <v>6</v>
      </c>
      <c r="C37" s="52"/>
      <c r="D37" s="16"/>
      <c r="E37" s="15"/>
      <c r="F37" s="15"/>
      <c r="G37" s="16"/>
      <c r="H37" s="16"/>
      <c r="I37" s="16"/>
      <c r="J37" s="15"/>
      <c r="K37" s="16">
        <f>SUM(K35:K36)</f>
        <v>19335.641325000004</v>
      </c>
    </row>
    <row r="38" spans="1:11">
      <c r="A38" s="8"/>
      <c r="B38" s="13" t="s">
        <v>16</v>
      </c>
      <c r="C38" s="59">
        <v>0.08</v>
      </c>
      <c r="D38" s="16"/>
      <c r="E38" s="15"/>
      <c r="F38" s="15"/>
      <c r="G38" s="16"/>
      <c r="H38" s="16"/>
      <c r="I38" s="16"/>
      <c r="J38" s="15"/>
      <c r="K38" s="16">
        <f>K37*C38</f>
        <v>1546.8513060000005</v>
      </c>
    </row>
    <row r="39" spans="1:11">
      <c r="A39" s="14"/>
      <c r="B39" s="18" t="s">
        <v>6</v>
      </c>
      <c r="C39" s="52"/>
      <c r="D39" s="16"/>
      <c r="E39" s="15"/>
      <c r="F39" s="15"/>
      <c r="G39" s="16"/>
      <c r="H39" s="16"/>
      <c r="I39" s="16"/>
      <c r="J39" s="15"/>
      <c r="K39" s="16">
        <f>SUM(K37:K38)</f>
        <v>20882.492631000005</v>
      </c>
    </row>
    <row r="40" spans="1:11">
      <c r="A40" s="14"/>
      <c r="B40" s="13" t="s">
        <v>19</v>
      </c>
      <c r="C40" s="59">
        <v>0.03</v>
      </c>
      <c r="D40" s="16"/>
      <c r="E40" s="15"/>
      <c r="F40" s="15"/>
      <c r="G40" s="16"/>
      <c r="H40" s="16"/>
      <c r="I40" s="16"/>
      <c r="J40" s="15"/>
      <c r="K40" s="16">
        <f>K39*C40</f>
        <v>626.47477893000007</v>
      </c>
    </row>
    <row r="41" spans="1:11">
      <c r="A41" s="14"/>
      <c r="B41" s="13" t="s">
        <v>28</v>
      </c>
      <c r="C41" s="59">
        <v>0.02</v>
      </c>
      <c r="D41" s="16"/>
      <c r="E41" s="15"/>
      <c r="F41" s="15"/>
      <c r="G41" s="16"/>
      <c r="H41" s="16"/>
      <c r="I41" s="16"/>
      <c r="J41" s="15"/>
      <c r="K41" s="16">
        <f>H33*C41</f>
        <v>199.45000000000002</v>
      </c>
    </row>
    <row r="42" spans="1:11">
      <c r="A42" s="14"/>
      <c r="B42" s="18" t="s">
        <v>6</v>
      </c>
      <c r="C42" s="52"/>
      <c r="D42" s="16"/>
      <c r="E42" s="15"/>
      <c r="F42" s="15"/>
      <c r="G42" s="16"/>
      <c r="H42" s="16"/>
      <c r="I42" s="16"/>
      <c r="J42" s="15"/>
      <c r="K42" s="16">
        <f>K41+K40+K39</f>
        <v>21708.417409930003</v>
      </c>
    </row>
    <row r="43" spans="1:11">
      <c r="A43" s="8"/>
      <c r="B43" s="8" t="s">
        <v>17</v>
      </c>
      <c r="C43" s="59">
        <v>0.18</v>
      </c>
      <c r="D43" s="16"/>
      <c r="E43" s="15"/>
      <c r="F43" s="15"/>
      <c r="G43" s="15"/>
      <c r="H43" s="15"/>
      <c r="I43" s="15"/>
      <c r="J43" s="15"/>
      <c r="K43" s="16">
        <f>K42*C43</f>
        <v>3907.5151337874004</v>
      </c>
    </row>
    <row r="44" spans="1:11">
      <c r="A44" s="7"/>
      <c r="B44" s="11" t="s">
        <v>18</v>
      </c>
      <c r="C44" s="4"/>
      <c r="D44" s="7"/>
      <c r="E44" s="7"/>
      <c r="F44" s="7"/>
      <c r="G44" s="7"/>
      <c r="H44" s="7"/>
      <c r="I44" s="7"/>
      <c r="J44" s="7"/>
      <c r="K44" s="25">
        <f>K43+K42</f>
        <v>25615.932543717405</v>
      </c>
    </row>
  </sheetData>
  <mergeCells count="13">
    <mergeCell ref="B2:K2"/>
    <mergeCell ref="A3:K3"/>
    <mergeCell ref="E4:H4"/>
    <mergeCell ref="A1:K1"/>
    <mergeCell ref="I4:K4"/>
    <mergeCell ref="I5:J5"/>
    <mergeCell ref="K5:K6"/>
    <mergeCell ref="A5:A6"/>
    <mergeCell ref="B5:B6"/>
    <mergeCell ref="C5:C6"/>
    <mergeCell ref="D5:D6"/>
    <mergeCell ref="E5:F5"/>
    <mergeCell ref="G5:H5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3"/>
  <sheetViews>
    <sheetView topLeftCell="A6" zoomScale="139" workbookViewId="0">
      <selection activeCell="H45" sqref="H45"/>
    </sheetView>
  </sheetViews>
  <sheetFormatPr defaultColWidth="8.81640625" defaultRowHeight="14.5"/>
  <cols>
    <col min="1" max="1" width="3.08984375" customWidth="1"/>
    <col min="2" max="2" width="55.36328125" customWidth="1"/>
    <col min="4" max="4" width="10.453125" customWidth="1"/>
    <col min="11" max="11" width="13.81640625" customWidth="1"/>
  </cols>
  <sheetData>
    <row r="1" spans="1:11" ht="18" customHeight="1">
      <c r="A1" s="336" t="s">
        <v>45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</row>
    <row r="2" spans="1:11">
      <c r="A2" s="43"/>
      <c r="B2" s="332" t="s">
        <v>49</v>
      </c>
      <c r="C2" s="332"/>
      <c r="D2" s="332"/>
      <c r="E2" s="332"/>
      <c r="F2" s="332"/>
      <c r="G2" s="332"/>
      <c r="H2" s="332"/>
      <c r="I2" s="332"/>
      <c r="J2" s="332"/>
      <c r="K2" s="332"/>
    </row>
    <row r="3" spans="1:11">
      <c r="A3" s="333" t="s">
        <v>36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</row>
    <row r="4" spans="1:11">
      <c r="A4" s="44"/>
      <c r="B4" s="45" t="s">
        <v>44</v>
      </c>
      <c r="C4" s="46"/>
      <c r="D4" s="46"/>
      <c r="E4" s="259" t="s">
        <v>22</v>
      </c>
      <c r="F4" s="259"/>
      <c r="G4" s="259"/>
      <c r="H4" s="259"/>
      <c r="I4" s="335">
        <f>K53</f>
        <v>147597.31074780741</v>
      </c>
      <c r="J4" s="335"/>
      <c r="K4" s="335"/>
    </row>
    <row r="5" spans="1:11">
      <c r="A5" s="267" t="s">
        <v>26</v>
      </c>
      <c r="B5" s="267" t="s">
        <v>0</v>
      </c>
      <c r="C5" s="267" t="s">
        <v>1</v>
      </c>
      <c r="D5" s="271" t="s">
        <v>2</v>
      </c>
      <c r="E5" s="273" t="s">
        <v>3</v>
      </c>
      <c r="F5" s="274"/>
      <c r="G5" s="273" t="s">
        <v>4</v>
      </c>
      <c r="H5" s="274"/>
      <c r="I5" s="265" t="s">
        <v>5</v>
      </c>
      <c r="J5" s="266"/>
      <c r="K5" s="267" t="s">
        <v>6</v>
      </c>
    </row>
    <row r="6" spans="1:11">
      <c r="A6" s="268"/>
      <c r="B6" s="268"/>
      <c r="C6" s="268"/>
      <c r="D6" s="272"/>
      <c r="E6" s="52" t="s">
        <v>7</v>
      </c>
      <c r="F6" s="52" t="s">
        <v>6</v>
      </c>
      <c r="G6" s="52" t="s">
        <v>7</v>
      </c>
      <c r="H6" s="52" t="s">
        <v>6</v>
      </c>
      <c r="I6" s="52" t="s">
        <v>7</v>
      </c>
      <c r="J6" s="52" t="s">
        <v>6</v>
      </c>
      <c r="K6" s="268"/>
    </row>
    <row r="7" spans="1:11">
      <c r="A7" s="53">
        <v>1</v>
      </c>
      <c r="B7" s="54">
        <v>2</v>
      </c>
      <c r="C7" s="54">
        <v>3</v>
      </c>
      <c r="D7" s="54">
        <v>4</v>
      </c>
      <c r="E7" s="54">
        <v>5</v>
      </c>
      <c r="F7" s="54">
        <v>6</v>
      </c>
      <c r="G7" s="54">
        <v>7</v>
      </c>
      <c r="H7" s="54">
        <v>8</v>
      </c>
      <c r="I7" s="54">
        <v>9</v>
      </c>
      <c r="J7" s="54">
        <v>10</v>
      </c>
      <c r="K7" s="54">
        <v>11</v>
      </c>
    </row>
    <row r="8" spans="1:11">
      <c r="A8" s="7"/>
      <c r="B8" s="10" t="s">
        <v>20</v>
      </c>
      <c r="C8" s="58"/>
      <c r="D8" s="17"/>
      <c r="E8" s="17"/>
      <c r="F8" s="17"/>
      <c r="G8" s="17"/>
      <c r="H8" s="17"/>
      <c r="I8" s="17"/>
      <c r="J8" s="17"/>
      <c r="K8" s="17"/>
    </row>
    <row r="9" spans="1:11">
      <c r="A9" s="35">
        <v>1</v>
      </c>
      <c r="B9" s="20" t="s">
        <v>47</v>
      </c>
      <c r="C9" s="53" t="s">
        <v>74</v>
      </c>
      <c r="D9" s="31">
        <v>70</v>
      </c>
      <c r="E9" s="6"/>
      <c r="F9" s="6">
        <f t="shared" ref="F9:F41" si="0">E9*D9</f>
        <v>0</v>
      </c>
      <c r="G9" s="6">
        <v>3</v>
      </c>
      <c r="H9" s="6">
        <f>G9*D9</f>
        <v>210</v>
      </c>
      <c r="I9" s="6">
        <v>0.08</v>
      </c>
      <c r="J9" s="6">
        <f>I9*D9</f>
        <v>5.6000000000000005</v>
      </c>
      <c r="K9" s="6">
        <f>J9+H9+F9</f>
        <v>215.6</v>
      </c>
    </row>
    <row r="10" spans="1:11">
      <c r="A10" s="35">
        <v>2</v>
      </c>
      <c r="B10" s="20" t="s">
        <v>48</v>
      </c>
      <c r="C10" s="53" t="s">
        <v>9</v>
      </c>
      <c r="D10" s="31">
        <v>4</v>
      </c>
      <c r="E10" s="6"/>
      <c r="F10" s="6">
        <f t="shared" si="0"/>
        <v>0</v>
      </c>
      <c r="G10" s="6">
        <v>20</v>
      </c>
      <c r="H10" s="6">
        <f t="shared" ref="H10:H41" si="1">G10*D10</f>
        <v>80</v>
      </c>
      <c r="I10" s="6">
        <v>1.5</v>
      </c>
      <c r="J10" s="6">
        <f t="shared" ref="J10:J41" si="2">I10*D10</f>
        <v>6</v>
      </c>
      <c r="K10" s="6">
        <f t="shared" ref="K10:K41" si="3">J10+H10+F10</f>
        <v>86</v>
      </c>
    </row>
    <row r="11" spans="1:11">
      <c r="A11" s="35">
        <v>3</v>
      </c>
      <c r="B11" s="9" t="s">
        <v>24</v>
      </c>
      <c r="C11" s="53" t="s">
        <v>75</v>
      </c>
      <c r="D11" s="6">
        <f>D10*0.05</f>
        <v>0.2</v>
      </c>
      <c r="E11" s="6"/>
      <c r="F11" s="6">
        <f t="shared" si="0"/>
        <v>0</v>
      </c>
      <c r="G11" s="6">
        <v>55</v>
      </c>
      <c r="H11" s="6">
        <f t="shared" si="1"/>
        <v>11</v>
      </c>
      <c r="I11" s="6">
        <v>25</v>
      </c>
      <c r="J11" s="6">
        <f t="shared" si="2"/>
        <v>5</v>
      </c>
      <c r="K11" s="6">
        <f t="shared" si="3"/>
        <v>16</v>
      </c>
    </row>
    <row r="12" spans="1:11">
      <c r="A12" s="35">
        <v>4</v>
      </c>
      <c r="B12" s="9" t="s">
        <v>25</v>
      </c>
      <c r="C12" s="53" t="s">
        <v>23</v>
      </c>
      <c r="D12" s="6">
        <f>D11*1.8</f>
        <v>0.36000000000000004</v>
      </c>
      <c r="E12" s="6"/>
      <c r="F12" s="6">
        <f t="shared" si="0"/>
        <v>0</v>
      </c>
      <c r="G12" s="6">
        <v>25</v>
      </c>
      <c r="H12" s="6">
        <f t="shared" si="1"/>
        <v>9.0000000000000018</v>
      </c>
      <c r="I12" s="6">
        <v>20</v>
      </c>
      <c r="J12" s="6">
        <f t="shared" si="2"/>
        <v>7.2000000000000011</v>
      </c>
      <c r="K12" s="6">
        <f t="shared" si="3"/>
        <v>16.200000000000003</v>
      </c>
    </row>
    <row r="13" spans="1:11">
      <c r="A13" s="35"/>
      <c r="B13" s="10" t="s">
        <v>21</v>
      </c>
      <c r="C13" s="53"/>
      <c r="D13" s="6"/>
      <c r="E13" s="6"/>
      <c r="F13" s="6">
        <f t="shared" si="0"/>
        <v>0</v>
      </c>
      <c r="G13" s="6"/>
      <c r="H13" s="6">
        <f t="shared" si="1"/>
        <v>0</v>
      </c>
      <c r="I13" s="6"/>
      <c r="J13" s="6">
        <f t="shared" si="2"/>
        <v>0</v>
      </c>
      <c r="K13" s="6">
        <f t="shared" si="3"/>
        <v>0</v>
      </c>
    </row>
    <row r="14" spans="1:11">
      <c r="A14" s="35">
        <v>1</v>
      </c>
      <c r="B14" s="19" t="s">
        <v>50</v>
      </c>
      <c r="C14" s="55" t="s">
        <v>8</v>
      </c>
      <c r="D14" s="28">
        <v>410</v>
      </c>
      <c r="E14" s="6"/>
      <c r="F14" s="6">
        <f t="shared" si="0"/>
        <v>0</v>
      </c>
      <c r="G14" s="6">
        <v>15</v>
      </c>
      <c r="H14" s="6">
        <f t="shared" si="1"/>
        <v>6150</v>
      </c>
      <c r="I14" s="6"/>
      <c r="J14" s="6">
        <f t="shared" si="2"/>
        <v>0</v>
      </c>
      <c r="K14" s="6">
        <f t="shared" si="3"/>
        <v>6150</v>
      </c>
    </row>
    <row r="15" spans="1:11" ht="17.25" customHeight="1">
      <c r="A15" s="35"/>
      <c r="B15" s="33" t="s">
        <v>30</v>
      </c>
      <c r="C15" s="53" t="s">
        <v>13</v>
      </c>
      <c r="D15" s="31">
        <f>0.7*70</f>
        <v>49</v>
      </c>
      <c r="E15" s="6">
        <v>0.9</v>
      </c>
      <c r="F15" s="6">
        <f t="shared" si="0"/>
        <v>44.1</v>
      </c>
      <c r="G15" s="6"/>
      <c r="H15" s="6">
        <f t="shared" si="1"/>
        <v>0</v>
      </c>
      <c r="I15" s="6">
        <v>0.1</v>
      </c>
      <c r="J15" s="6">
        <f t="shared" si="2"/>
        <v>4.9000000000000004</v>
      </c>
      <c r="K15" s="6">
        <f t="shared" si="3"/>
        <v>49</v>
      </c>
    </row>
    <row r="16" spans="1:11" ht="17.25" customHeight="1">
      <c r="A16" s="35"/>
      <c r="B16" s="20" t="s">
        <v>51</v>
      </c>
      <c r="C16" s="53" t="s">
        <v>13</v>
      </c>
      <c r="D16" s="31">
        <f>D14*0.35</f>
        <v>143.5</v>
      </c>
      <c r="E16" s="6">
        <v>12</v>
      </c>
      <c r="F16" s="6">
        <f t="shared" si="0"/>
        <v>1722</v>
      </c>
      <c r="G16" s="6"/>
      <c r="H16" s="6">
        <f t="shared" si="1"/>
        <v>0</v>
      </c>
      <c r="I16" s="6">
        <v>0.1</v>
      </c>
      <c r="J16" s="6">
        <f t="shared" si="2"/>
        <v>14.350000000000001</v>
      </c>
      <c r="K16" s="6">
        <f t="shared" si="3"/>
        <v>1736.35</v>
      </c>
    </row>
    <row r="17" spans="1:11" ht="17.25" customHeight="1">
      <c r="A17" s="35"/>
      <c r="B17" s="20" t="s">
        <v>42</v>
      </c>
      <c r="C17" s="53" t="s">
        <v>13</v>
      </c>
      <c r="D17" s="31">
        <f>D14*0.15</f>
        <v>61.5</v>
      </c>
      <c r="E17" s="6">
        <v>5</v>
      </c>
      <c r="F17" s="6">
        <f t="shared" si="0"/>
        <v>307.5</v>
      </c>
      <c r="G17" s="6"/>
      <c r="H17" s="6">
        <f t="shared" si="1"/>
        <v>0</v>
      </c>
      <c r="I17" s="6">
        <v>0.1</v>
      </c>
      <c r="J17" s="6">
        <f t="shared" si="2"/>
        <v>6.15</v>
      </c>
      <c r="K17" s="6">
        <f t="shared" si="3"/>
        <v>313.64999999999998</v>
      </c>
    </row>
    <row r="18" spans="1:11" ht="17.25" customHeight="1">
      <c r="A18" s="35"/>
      <c r="B18" s="33" t="s">
        <v>31</v>
      </c>
      <c r="C18" s="53" t="s">
        <v>8</v>
      </c>
      <c r="D18" s="6">
        <f>0.009*D14</f>
        <v>3.6899999999999995</v>
      </c>
      <c r="E18" s="6">
        <v>25</v>
      </c>
      <c r="F18" s="6">
        <f t="shared" si="0"/>
        <v>92.249999999999986</v>
      </c>
      <c r="G18" s="6"/>
      <c r="H18" s="6">
        <f t="shared" si="1"/>
        <v>0</v>
      </c>
      <c r="I18" s="6">
        <v>0.1</v>
      </c>
      <c r="J18" s="6">
        <f t="shared" si="2"/>
        <v>0.36899999999999999</v>
      </c>
      <c r="K18" s="6">
        <f t="shared" si="3"/>
        <v>92.618999999999986</v>
      </c>
    </row>
    <row r="19" spans="1:11" ht="17.25" customHeight="1">
      <c r="A19" s="35"/>
      <c r="B19" s="33" t="s">
        <v>37</v>
      </c>
      <c r="C19" s="53" t="s">
        <v>10</v>
      </c>
      <c r="D19" s="31">
        <f>0.5*D14</f>
        <v>205</v>
      </c>
      <c r="E19" s="6">
        <v>1.4</v>
      </c>
      <c r="F19" s="6">
        <f t="shared" si="0"/>
        <v>287</v>
      </c>
      <c r="G19" s="6"/>
      <c r="H19" s="6">
        <f t="shared" si="1"/>
        <v>0</v>
      </c>
      <c r="I19" s="6">
        <v>0.01</v>
      </c>
      <c r="J19" s="6">
        <f t="shared" si="2"/>
        <v>2.0499999999999998</v>
      </c>
      <c r="K19" s="6">
        <f t="shared" si="3"/>
        <v>289.05</v>
      </c>
    </row>
    <row r="20" spans="1:11" ht="17.25" customHeight="1">
      <c r="A20" s="35"/>
      <c r="B20" s="33" t="s">
        <v>11</v>
      </c>
      <c r="C20" s="53" t="s">
        <v>12</v>
      </c>
      <c r="D20" s="6">
        <f>D14*0.01</f>
        <v>4.0999999999999996</v>
      </c>
      <c r="E20" s="6">
        <v>8</v>
      </c>
      <c r="F20" s="6">
        <f t="shared" si="0"/>
        <v>32.799999999999997</v>
      </c>
      <c r="G20" s="6"/>
      <c r="H20" s="6">
        <f t="shared" si="1"/>
        <v>0</v>
      </c>
      <c r="I20" s="6"/>
      <c r="J20" s="6">
        <f t="shared" si="2"/>
        <v>0</v>
      </c>
      <c r="K20" s="6">
        <f t="shared" si="3"/>
        <v>32.799999999999997</v>
      </c>
    </row>
    <row r="21" spans="1:11" ht="40.5">
      <c r="A21" s="36">
        <v>2</v>
      </c>
      <c r="B21" s="27" t="s">
        <v>56</v>
      </c>
      <c r="C21" s="55" t="s">
        <v>9</v>
      </c>
      <c r="D21" s="28">
        <v>1</v>
      </c>
      <c r="E21" s="28"/>
      <c r="F21" s="6">
        <f t="shared" si="0"/>
        <v>0</v>
      </c>
      <c r="G21" s="28">
        <v>200</v>
      </c>
      <c r="H21" s="6">
        <f t="shared" si="1"/>
        <v>200</v>
      </c>
      <c r="I21" s="28"/>
      <c r="J21" s="6">
        <f t="shared" si="2"/>
        <v>0</v>
      </c>
      <c r="K21" s="6">
        <f t="shared" si="3"/>
        <v>200</v>
      </c>
    </row>
    <row r="22" spans="1:11">
      <c r="A22" s="36"/>
      <c r="B22" s="30" t="s">
        <v>11</v>
      </c>
      <c r="C22" s="55" t="s">
        <v>12</v>
      </c>
      <c r="D22" s="28">
        <f>D21*1</f>
        <v>1</v>
      </c>
      <c r="E22" s="28">
        <v>8</v>
      </c>
      <c r="F22" s="6">
        <f t="shared" si="0"/>
        <v>8</v>
      </c>
      <c r="G22" s="28"/>
      <c r="H22" s="6">
        <f t="shared" si="1"/>
        <v>0</v>
      </c>
      <c r="I22" s="28"/>
      <c r="J22" s="6">
        <f t="shared" si="2"/>
        <v>0</v>
      </c>
      <c r="K22" s="6">
        <f t="shared" si="3"/>
        <v>8</v>
      </c>
    </row>
    <row r="23" spans="1:11" ht="24">
      <c r="A23" s="50">
        <v>3</v>
      </c>
      <c r="B23" s="51" t="s">
        <v>71</v>
      </c>
      <c r="C23" s="53" t="s">
        <v>8</v>
      </c>
      <c r="D23" s="49">
        <v>40</v>
      </c>
      <c r="E23" s="49"/>
      <c r="F23" s="6">
        <f t="shared" si="0"/>
        <v>0</v>
      </c>
      <c r="G23" s="49">
        <v>15</v>
      </c>
      <c r="H23" s="6">
        <f t="shared" si="1"/>
        <v>600</v>
      </c>
      <c r="I23" s="49"/>
      <c r="J23" s="6">
        <f t="shared" si="2"/>
        <v>0</v>
      </c>
      <c r="K23" s="6">
        <f t="shared" si="3"/>
        <v>600</v>
      </c>
    </row>
    <row r="24" spans="1:11">
      <c r="A24" s="50"/>
      <c r="B24" s="48" t="s">
        <v>70</v>
      </c>
      <c r="C24" s="53" t="s">
        <v>13</v>
      </c>
      <c r="D24" s="49">
        <f>D23*0.4</f>
        <v>16</v>
      </c>
      <c r="E24" s="49">
        <v>18</v>
      </c>
      <c r="F24" s="6">
        <f t="shared" si="0"/>
        <v>288</v>
      </c>
      <c r="G24" s="49"/>
      <c r="H24" s="6">
        <f t="shared" si="1"/>
        <v>0</v>
      </c>
      <c r="I24" s="49"/>
      <c r="J24" s="6">
        <f t="shared" si="2"/>
        <v>0</v>
      </c>
      <c r="K24" s="6">
        <f t="shared" si="3"/>
        <v>288</v>
      </c>
    </row>
    <row r="25" spans="1:11">
      <c r="A25" s="50"/>
      <c r="B25" s="48" t="s">
        <v>72</v>
      </c>
      <c r="C25" s="53" t="s">
        <v>8</v>
      </c>
      <c r="D25" s="41">
        <f>D23*0.04</f>
        <v>1.6</v>
      </c>
      <c r="E25" s="41">
        <v>22</v>
      </c>
      <c r="F25" s="6">
        <f t="shared" si="0"/>
        <v>35.200000000000003</v>
      </c>
      <c r="G25" s="41"/>
      <c r="H25" s="6">
        <f t="shared" si="1"/>
        <v>0</v>
      </c>
      <c r="I25" s="41">
        <v>0.01</v>
      </c>
      <c r="J25" s="6">
        <f t="shared" si="2"/>
        <v>1.6E-2</v>
      </c>
      <c r="K25" s="6">
        <f t="shared" si="3"/>
        <v>35.216000000000001</v>
      </c>
    </row>
    <row r="26" spans="1:11">
      <c r="A26" s="50"/>
      <c r="B26" s="48" t="s">
        <v>11</v>
      </c>
      <c r="C26" s="55" t="s">
        <v>12</v>
      </c>
      <c r="D26" s="49">
        <f>D23*0.1</f>
        <v>4</v>
      </c>
      <c r="E26" s="49">
        <v>8</v>
      </c>
      <c r="F26" s="6">
        <f t="shared" si="0"/>
        <v>32</v>
      </c>
      <c r="G26" s="49"/>
      <c r="H26" s="6">
        <f t="shared" si="1"/>
        <v>0</v>
      </c>
      <c r="I26" s="49"/>
      <c r="J26" s="6">
        <f t="shared" si="2"/>
        <v>0</v>
      </c>
      <c r="K26" s="6">
        <f t="shared" si="3"/>
        <v>32</v>
      </c>
    </row>
    <row r="27" spans="1:11" ht="27">
      <c r="A27" s="35">
        <v>4</v>
      </c>
      <c r="B27" s="17" t="s">
        <v>76</v>
      </c>
      <c r="C27" s="55" t="s">
        <v>9</v>
      </c>
      <c r="D27" s="28">
        <v>8</v>
      </c>
      <c r="E27" s="6"/>
      <c r="F27" s="6">
        <f t="shared" si="0"/>
        <v>0</v>
      </c>
      <c r="G27" s="6">
        <v>70</v>
      </c>
      <c r="H27" s="6">
        <f t="shared" si="1"/>
        <v>560</v>
      </c>
      <c r="I27" s="6"/>
      <c r="J27" s="6">
        <f t="shared" si="2"/>
        <v>0</v>
      </c>
      <c r="K27" s="6">
        <f t="shared" si="3"/>
        <v>560</v>
      </c>
    </row>
    <row r="28" spans="1:11">
      <c r="A28" s="35"/>
      <c r="B28" s="29" t="s">
        <v>52</v>
      </c>
      <c r="C28" s="55" t="s">
        <v>9</v>
      </c>
      <c r="D28" s="28">
        <v>4</v>
      </c>
      <c r="E28" s="6">
        <v>10150</v>
      </c>
      <c r="F28" s="6">
        <f t="shared" si="0"/>
        <v>40600</v>
      </c>
      <c r="G28" s="6"/>
      <c r="H28" s="6">
        <f t="shared" si="1"/>
        <v>0</v>
      </c>
      <c r="I28" s="6">
        <v>1</v>
      </c>
      <c r="J28" s="6">
        <f t="shared" si="2"/>
        <v>4</v>
      </c>
      <c r="K28" s="6">
        <f t="shared" si="3"/>
        <v>40604</v>
      </c>
    </row>
    <row r="29" spans="1:11">
      <c r="A29" s="35"/>
      <c r="B29" s="29" t="s">
        <v>53</v>
      </c>
      <c r="C29" s="55" t="s">
        <v>9</v>
      </c>
      <c r="D29" s="28">
        <v>4</v>
      </c>
      <c r="E29" s="6">
        <v>10000</v>
      </c>
      <c r="F29" s="6">
        <f t="shared" si="0"/>
        <v>40000</v>
      </c>
      <c r="G29" s="6"/>
      <c r="H29" s="6">
        <f t="shared" si="1"/>
        <v>0</v>
      </c>
      <c r="I29" s="6">
        <v>1</v>
      </c>
      <c r="J29" s="6">
        <f t="shared" si="2"/>
        <v>4</v>
      </c>
      <c r="K29" s="6">
        <f t="shared" si="3"/>
        <v>40004</v>
      </c>
    </row>
    <row r="30" spans="1:11">
      <c r="A30" s="35"/>
      <c r="B30" s="29" t="s">
        <v>11</v>
      </c>
      <c r="C30" s="55" t="s">
        <v>12</v>
      </c>
      <c r="D30" s="28">
        <f>20*0.7</f>
        <v>14</v>
      </c>
      <c r="E30" s="6">
        <v>8</v>
      </c>
      <c r="F30" s="6">
        <f t="shared" si="0"/>
        <v>112</v>
      </c>
      <c r="G30" s="6"/>
      <c r="H30" s="6">
        <f t="shared" si="1"/>
        <v>0</v>
      </c>
      <c r="I30" s="6"/>
      <c r="J30" s="6">
        <f t="shared" si="2"/>
        <v>0</v>
      </c>
      <c r="K30" s="6">
        <f t="shared" si="3"/>
        <v>112</v>
      </c>
    </row>
    <row r="31" spans="1:11" ht="27">
      <c r="A31" s="36">
        <v>5</v>
      </c>
      <c r="B31" s="32" t="s">
        <v>55</v>
      </c>
      <c r="C31" s="53" t="s">
        <v>10</v>
      </c>
      <c r="D31" s="6">
        <v>84</v>
      </c>
      <c r="E31" s="6"/>
      <c r="F31" s="6">
        <f t="shared" si="0"/>
        <v>0</v>
      </c>
      <c r="G31" s="6">
        <v>5</v>
      </c>
      <c r="H31" s="6">
        <f t="shared" si="1"/>
        <v>420</v>
      </c>
      <c r="I31" s="6"/>
      <c r="J31" s="6">
        <f t="shared" si="2"/>
        <v>0</v>
      </c>
      <c r="K31" s="6">
        <f t="shared" si="3"/>
        <v>420</v>
      </c>
    </row>
    <row r="32" spans="1:11">
      <c r="A32" s="36"/>
      <c r="B32" s="21" t="s">
        <v>54</v>
      </c>
      <c r="C32" s="53" t="s">
        <v>10</v>
      </c>
      <c r="D32" s="31">
        <f>D31*1.1</f>
        <v>92.4</v>
      </c>
      <c r="E32" s="6">
        <v>7</v>
      </c>
      <c r="F32" s="6">
        <f t="shared" si="0"/>
        <v>646.80000000000007</v>
      </c>
      <c r="G32" s="6"/>
      <c r="H32" s="6">
        <f t="shared" si="1"/>
        <v>0</v>
      </c>
      <c r="I32" s="6">
        <v>0.5</v>
      </c>
      <c r="J32" s="6">
        <f t="shared" si="2"/>
        <v>46.2</v>
      </c>
      <c r="K32" s="6">
        <f t="shared" si="3"/>
        <v>693.00000000000011</v>
      </c>
    </row>
    <row r="33" spans="1:11">
      <c r="A33" s="36"/>
      <c r="B33" s="5" t="s">
        <v>39</v>
      </c>
      <c r="C33" s="53" t="s">
        <v>27</v>
      </c>
      <c r="D33" s="31">
        <v>12</v>
      </c>
      <c r="E33" s="6">
        <v>20</v>
      </c>
      <c r="F33" s="6">
        <f t="shared" si="0"/>
        <v>240</v>
      </c>
      <c r="G33" s="6"/>
      <c r="H33" s="6">
        <f t="shared" si="1"/>
        <v>0</v>
      </c>
      <c r="I33" s="6">
        <v>0.5</v>
      </c>
      <c r="J33" s="6">
        <f t="shared" si="2"/>
        <v>6</v>
      </c>
      <c r="K33" s="6">
        <f t="shared" si="3"/>
        <v>246</v>
      </c>
    </row>
    <row r="34" spans="1:11">
      <c r="A34" s="35">
        <v>6</v>
      </c>
      <c r="B34" s="37" t="s">
        <v>32</v>
      </c>
      <c r="C34" s="55" t="s">
        <v>10</v>
      </c>
      <c r="D34" s="28">
        <v>205</v>
      </c>
      <c r="E34" s="6"/>
      <c r="F34" s="6">
        <f t="shared" si="0"/>
        <v>0</v>
      </c>
      <c r="G34" s="6">
        <v>7</v>
      </c>
      <c r="H34" s="6">
        <f t="shared" si="1"/>
        <v>1435</v>
      </c>
      <c r="I34" s="6"/>
      <c r="J34" s="6">
        <f t="shared" si="2"/>
        <v>0</v>
      </c>
      <c r="K34" s="6">
        <f t="shared" si="3"/>
        <v>1435</v>
      </c>
    </row>
    <row r="35" spans="1:11">
      <c r="A35" s="35"/>
      <c r="B35" s="5" t="s">
        <v>33</v>
      </c>
      <c r="C35" s="53" t="s">
        <v>10</v>
      </c>
      <c r="D35" s="6">
        <f>1.03*D34</f>
        <v>211.15</v>
      </c>
      <c r="E35" s="6">
        <v>11</v>
      </c>
      <c r="F35" s="6">
        <f t="shared" si="0"/>
        <v>2322.65</v>
      </c>
      <c r="G35" s="6"/>
      <c r="H35" s="6">
        <f t="shared" si="1"/>
        <v>0</v>
      </c>
      <c r="I35" s="6">
        <v>0.2</v>
      </c>
      <c r="J35" s="6">
        <f t="shared" si="2"/>
        <v>42.230000000000004</v>
      </c>
      <c r="K35" s="6">
        <f t="shared" si="3"/>
        <v>2364.88</v>
      </c>
    </row>
    <row r="36" spans="1:11">
      <c r="A36" s="35"/>
      <c r="B36" s="5" t="s">
        <v>35</v>
      </c>
      <c r="C36" s="53" t="s">
        <v>27</v>
      </c>
      <c r="D36" s="6">
        <f>D34*4</f>
        <v>820</v>
      </c>
      <c r="E36" s="6">
        <v>0.04</v>
      </c>
      <c r="F36" s="6">
        <f t="shared" si="0"/>
        <v>32.799999999999997</v>
      </c>
      <c r="G36" s="6"/>
      <c r="H36" s="6">
        <f t="shared" si="1"/>
        <v>0</v>
      </c>
      <c r="I36" s="6">
        <v>0.01</v>
      </c>
      <c r="J36" s="6">
        <f t="shared" si="2"/>
        <v>8.1999999999999993</v>
      </c>
      <c r="K36" s="6">
        <f t="shared" si="3"/>
        <v>41</v>
      </c>
    </row>
    <row r="37" spans="1:11">
      <c r="A37" s="35"/>
      <c r="B37" s="5" t="s">
        <v>34</v>
      </c>
      <c r="C37" s="53" t="s">
        <v>27</v>
      </c>
      <c r="D37" s="6">
        <v>15</v>
      </c>
      <c r="E37" s="6">
        <v>14</v>
      </c>
      <c r="F37" s="6">
        <f t="shared" si="0"/>
        <v>210</v>
      </c>
      <c r="G37" s="6"/>
      <c r="H37" s="6">
        <f t="shared" si="1"/>
        <v>0</v>
      </c>
      <c r="I37" s="6">
        <v>0.1</v>
      </c>
      <c r="J37" s="6">
        <f t="shared" si="2"/>
        <v>1.5</v>
      </c>
      <c r="K37" s="6">
        <f t="shared" si="3"/>
        <v>211.5</v>
      </c>
    </row>
    <row r="38" spans="1:11" ht="21" customHeight="1">
      <c r="A38" s="35"/>
      <c r="B38" s="5" t="s">
        <v>11</v>
      </c>
      <c r="C38" s="53" t="s">
        <v>12</v>
      </c>
      <c r="D38" s="6">
        <f>D34*0.03</f>
        <v>6.1499999999999995</v>
      </c>
      <c r="E38" s="6">
        <v>8</v>
      </c>
      <c r="F38" s="6">
        <f t="shared" si="0"/>
        <v>49.199999999999996</v>
      </c>
      <c r="G38" s="6"/>
      <c r="H38" s="6">
        <f t="shared" si="1"/>
        <v>0</v>
      </c>
      <c r="I38" s="6"/>
      <c r="J38" s="6">
        <f t="shared" si="2"/>
        <v>0</v>
      </c>
      <c r="K38" s="6">
        <f t="shared" si="3"/>
        <v>49.199999999999996</v>
      </c>
    </row>
    <row r="39" spans="1:11">
      <c r="A39" s="35">
        <v>7</v>
      </c>
      <c r="B39" s="27" t="s">
        <v>57</v>
      </c>
      <c r="C39" s="55" t="s">
        <v>9</v>
      </c>
      <c r="D39" s="28">
        <v>1</v>
      </c>
      <c r="E39" s="28">
        <v>80</v>
      </c>
      <c r="F39" s="6">
        <f t="shared" si="0"/>
        <v>80</v>
      </c>
      <c r="G39" s="28">
        <v>10</v>
      </c>
      <c r="H39" s="6">
        <f t="shared" si="1"/>
        <v>10</v>
      </c>
      <c r="I39" s="28">
        <v>5</v>
      </c>
      <c r="J39" s="6">
        <f t="shared" si="2"/>
        <v>5</v>
      </c>
      <c r="K39" s="6">
        <f t="shared" si="3"/>
        <v>95</v>
      </c>
    </row>
    <row r="40" spans="1:11">
      <c r="A40" s="35">
        <v>8</v>
      </c>
      <c r="B40" s="9" t="s">
        <v>24</v>
      </c>
      <c r="C40" s="53" t="s">
        <v>75</v>
      </c>
      <c r="D40" s="6">
        <v>2</v>
      </c>
      <c r="E40" s="6"/>
      <c r="F40" s="6">
        <f t="shared" si="0"/>
        <v>0</v>
      </c>
      <c r="G40" s="6">
        <v>55</v>
      </c>
      <c r="H40" s="6">
        <f t="shared" si="1"/>
        <v>110</v>
      </c>
      <c r="I40" s="6">
        <v>25</v>
      </c>
      <c r="J40" s="6">
        <f t="shared" si="2"/>
        <v>50</v>
      </c>
      <c r="K40" s="6">
        <f t="shared" si="3"/>
        <v>160</v>
      </c>
    </row>
    <row r="41" spans="1:11">
      <c r="A41" s="35">
        <v>9</v>
      </c>
      <c r="B41" s="9" t="s">
        <v>25</v>
      </c>
      <c r="C41" s="53" t="s">
        <v>23</v>
      </c>
      <c r="D41" s="6">
        <v>1</v>
      </c>
      <c r="E41" s="6"/>
      <c r="F41" s="6">
        <f t="shared" si="0"/>
        <v>0</v>
      </c>
      <c r="G41" s="6">
        <v>25</v>
      </c>
      <c r="H41" s="6">
        <f t="shared" si="1"/>
        <v>25</v>
      </c>
      <c r="I41" s="6">
        <v>20</v>
      </c>
      <c r="J41" s="6">
        <f t="shared" si="2"/>
        <v>20</v>
      </c>
      <c r="K41" s="6">
        <f t="shared" si="3"/>
        <v>45</v>
      </c>
    </row>
    <row r="42" spans="1:11">
      <c r="A42" s="22"/>
      <c r="B42" s="7" t="s">
        <v>6</v>
      </c>
      <c r="C42" s="53"/>
      <c r="D42" s="6"/>
      <c r="E42" s="6"/>
      <c r="F42" s="6">
        <f>SUM(F9:F41)</f>
        <v>87142.3</v>
      </c>
      <c r="G42" s="6"/>
      <c r="H42" s="6">
        <f>SUM(H9:H41)</f>
        <v>9820</v>
      </c>
      <c r="I42" s="6"/>
      <c r="J42" s="6">
        <f>SUM(J9:J41)</f>
        <v>238.76499999999999</v>
      </c>
      <c r="K42" s="6">
        <f>SUM(K9:K41)</f>
        <v>97201.065000000002</v>
      </c>
    </row>
    <row r="43" spans="1:11">
      <c r="A43" s="8"/>
      <c r="B43" s="13" t="s">
        <v>14</v>
      </c>
      <c r="C43" s="59">
        <v>0.05</v>
      </c>
      <c r="D43" s="16"/>
      <c r="E43" s="15"/>
      <c r="F43" s="16"/>
      <c r="G43" s="16"/>
      <c r="H43" s="16"/>
      <c r="I43" s="16"/>
      <c r="J43" s="15"/>
      <c r="K43" s="16">
        <f>K42*C43</f>
        <v>4860.0532499999999</v>
      </c>
    </row>
    <row r="44" spans="1:11">
      <c r="A44" s="8"/>
      <c r="B44" s="18" t="s">
        <v>6</v>
      </c>
      <c r="C44" s="52"/>
      <c r="D44" s="16"/>
      <c r="E44" s="15"/>
      <c r="F44" s="15"/>
      <c r="G44" s="16"/>
      <c r="H44" s="16"/>
      <c r="I44" s="16"/>
      <c r="J44" s="15"/>
      <c r="K44" s="16">
        <f>K43+K42</f>
        <v>102061.11825</v>
      </c>
    </row>
    <row r="45" spans="1:11">
      <c r="A45" s="8"/>
      <c r="B45" s="13" t="s">
        <v>15</v>
      </c>
      <c r="C45" s="59">
        <v>0.1</v>
      </c>
      <c r="D45" s="16"/>
      <c r="E45" s="15"/>
      <c r="F45" s="15"/>
      <c r="G45" s="16"/>
      <c r="H45" s="16"/>
      <c r="I45" s="16"/>
      <c r="J45" s="15"/>
      <c r="K45" s="16">
        <f>K44*C45</f>
        <v>10206.111825</v>
      </c>
    </row>
    <row r="46" spans="1:11">
      <c r="A46" s="8"/>
      <c r="B46" s="18" t="s">
        <v>6</v>
      </c>
      <c r="C46" s="52"/>
      <c r="D46" s="16"/>
      <c r="E46" s="15"/>
      <c r="F46" s="15"/>
      <c r="G46" s="16"/>
      <c r="H46" s="16"/>
      <c r="I46" s="16"/>
      <c r="J46" s="15"/>
      <c r="K46" s="16">
        <f>SUM(K44:K45)</f>
        <v>112267.230075</v>
      </c>
    </row>
    <row r="47" spans="1:11">
      <c r="A47" s="8"/>
      <c r="B47" s="13" t="s">
        <v>16</v>
      </c>
      <c r="C47" s="59">
        <v>0.08</v>
      </c>
      <c r="D47" s="16"/>
      <c r="E47" s="15"/>
      <c r="F47" s="15"/>
      <c r="G47" s="16"/>
      <c r="H47" s="16"/>
      <c r="I47" s="16"/>
      <c r="J47" s="15"/>
      <c r="K47" s="16">
        <f>K46*C47</f>
        <v>8981.3784059999998</v>
      </c>
    </row>
    <row r="48" spans="1:11">
      <c r="A48" s="14"/>
      <c r="B48" s="18" t="s">
        <v>6</v>
      </c>
      <c r="C48" s="52"/>
      <c r="D48" s="16"/>
      <c r="E48" s="15"/>
      <c r="F48" s="15"/>
      <c r="G48" s="16"/>
      <c r="H48" s="16"/>
      <c r="I48" s="16"/>
      <c r="J48" s="15"/>
      <c r="K48" s="16">
        <f>SUM(K46:K47)</f>
        <v>121248.608481</v>
      </c>
    </row>
    <row r="49" spans="1:11">
      <c r="A49" s="14"/>
      <c r="B49" s="13" t="s">
        <v>19</v>
      </c>
      <c r="C49" s="59">
        <v>0.03</v>
      </c>
      <c r="D49" s="16"/>
      <c r="E49" s="15"/>
      <c r="F49" s="15"/>
      <c r="G49" s="16"/>
      <c r="H49" s="16"/>
      <c r="I49" s="16"/>
      <c r="J49" s="15"/>
      <c r="K49" s="16">
        <f>K48*C49</f>
        <v>3637.4582544300001</v>
      </c>
    </row>
    <row r="50" spans="1:11">
      <c r="A50" s="14"/>
      <c r="B50" s="13" t="s">
        <v>28</v>
      </c>
      <c r="C50" s="59">
        <v>0.02</v>
      </c>
      <c r="D50" s="16"/>
      <c r="E50" s="15"/>
      <c r="F50" s="15"/>
      <c r="G50" s="16"/>
      <c r="H50" s="16"/>
      <c r="I50" s="16"/>
      <c r="J50" s="15"/>
      <c r="K50" s="16">
        <f>H42*C50</f>
        <v>196.4</v>
      </c>
    </row>
    <row r="51" spans="1:11">
      <c r="A51" s="14"/>
      <c r="B51" s="18" t="s">
        <v>6</v>
      </c>
      <c r="C51" s="52"/>
      <c r="D51" s="16"/>
      <c r="E51" s="15"/>
      <c r="F51" s="15"/>
      <c r="G51" s="16"/>
      <c r="H51" s="16"/>
      <c r="I51" s="16"/>
      <c r="J51" s="15"/>
      <c r="K51" s="16">
        <f>K50+K49+K48</f>
        <v>125082.46673543</v>
      </c>
    </row>
    <row r="52" spans="1:11">
      <c r="A52" s="8"/>
      <c r="B52" s="8" t="s">
        <v>17</v>
      </c>
      <c r="C52" s="59">
        <v>0.18</v>
      </c>
      <c r="D52" s="16"/>
      <c r="E52" s="15"/>
      <c r="F52" s="15"/>
      <c r="G52" s="15"/>
      <c r="H52" s="15"/>
      <c r="I52" s="15"/>
      <c r="J52" s="15"/>
      <c r="K52" s="16">
        <f>K51*C52</f>
        <v>22514.844012377398</v>
      </c>
    </row>
    <row r="53" spans="1:11">
      <c r="A53" s="7"/>
      <c r="B53" s="11" t="s">
        <v>18</v>
      </c>
      <c r="C53" s="4"/>
      <c r="D53" s="7"/>
      <c r="E53" s="7"/>
      <c r="F53" s="7"/>
      <c r="G53" s="7"/>
      <c r="H53" s="7"/>
      <c r="I53" s="7"/>
      <c r="J53" s="7"/>
      <c r="K53" s="25">
        <f>K52+K51</f>
        <v>147597.31074780741</v>
      </c>
    </row>
  </sheetData>
  <mergeCells count="13">
    <mergeCell ref="I5:J5"/>
    <mergeCell ref="K5:K6"/>
    <mergeCell ref="A5:A6"/>
    <mergeCell ref="B5:B6"/>
    <mergeCell ref="C5:C6"/>
    <mergeCell ref="D5:D6"/>
    <mergeCell ref="E5:F5"/>
    <mergeCell ref="G5:H5"/>
    <mergeCell ref="B2:K2"/>
    <mergeCell ref="A3:K3"/>
    <mergeCell ref="E4:H4"/>
    <mergeCell ref="I4:K4"/>
    <mergeCell ref="A1:K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საერთო ჯამი</vt:lpstr>
      <vt:lpstr>VI სართული</vt:lpstr>
      <vt:lpstr>რეანიმაცია</vt:lpstr>
      <vt:lpstr>ვენტილაცია</vt:lpstr>
      <vt:lpstr>აირები</vt:lpstr>
      <vt:lpstr>II სართული</vt:lpstr>
      <vt:lpstr>III სართული</vt:lpstr>
      <vt:lpstr>IV სართული</vt:lpstr>
      <vt:lpstr>V სართული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2023-04-28T14:59:24Z</dcterms:modified>
</cp:coreProperties>
</file>