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beridze1401\Desktop\"/>
    </mc:Choice>
  </mc:AlternateContent>
  <xr:revisionPtr revIDLastSave="0" documentId="13_ncr:1_{0F291619-DD06-456E-8135-D9B969A26CB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თავ.ფურც" sheetId="7" r:id="rId1"/>
    <sheet name="რესურსული" sheetId="2" r:id="rId2"/>
  </sheets>
  <definedNames>
    <definedName name="_xlnm.Print_Area" localSheetId="0">თავ.ფურც!$A$1:$N$51</definedName>
    <definedName name="_xlnm.Print_Area" localSheetId="1">რესურსული!$A$1:$O$325</definedName>
    <definedName name="_xlnm.Print_Titles" localSheetId="1">რესურსული!$8:$8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48" i="2" l="1"/>
  <c r="O236" i="2"/>
  <c r="O11" i="2"/>
  <c r="O396" i="2"/>
  <c r="O397" i="2"/>
  <c r="O394" i="2"/>
  <c r="O395" i="2"/>
  <c r="G390" i="2"/>
  <c r="O390" i="2" s="1"/>
  <c r="G391" i="2"/>
  <c r="I391" i="2"/>
  <c r="G392" i="2"/>
  <c r="I392" i="2"/>
  <c r="O392" i="2" l="1"/>
  <c r="O391" i="2"/>
  <c r="O306" i="2" l="1"/>
  <c r="O305" i="2"/>
  <c r="O82" i="2"/>
  <c r="O29" i="2"/>
  <c r="O31" i="2"/>
  <c r="O28" i="2"/>
  <c r="O30" i="2"/>
  <c r="O35" i="2"/>
  <c r="O34" i="2"/>
  <c r="O33" i="2"/>
  <c r="O80" i="2" l="1"/>
  <c r="O81" i="2"/>
  <c r="O27" i="2" l="1"/>
  <c r="G37" i="2"/>
  <c r="O43" i="2"/>
  <c r="O42" i="2"/>
  <c r="O232" i="2"/>
  <c r="O228" i="2"/>
  <c r="O226" i="2"/>
  <c r="O227" i="2"/>
  <c r="O222" i="2"/>
  <c r="O231" i="2" l="1"/>
  <c r="O37" i="2"/>
  <c r="O41" i="2"/>
  <c r="O26" i="2"/>
  <c r="O230" i="2"/>
  <c r="O32" i="2"/>
  <c r="O223" i="2"/>
  <c r="O224" i="2"/>
  <c r="O39" i="2" l="1"/>
  <c r="O40" i="2"/>
  <c r="O220" i="2" l="1"/>
  <c r="O219" i="2" l="1"/>
  <c r="O218" i="2"/>
  <c r="O302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86" i="2"/>
  <c r="O285" i="2"/>
  <c r="O284" i="2"/>
  <c r="O283" i="2"/>
  <c r="O282" i="2"/>
  <c r="O281" i="2"/>
  <c r="O297" i="2"/>
  <c r="O296" i="2"/>
  <c r="O295" i="2"/>
  <c r="O294" i="2"/>
  <c r="O293" i="2"/>
  <c r="O292" i="2"/>
  <c r="O291" i="2"/>
  <c r="O290" i="2"/>
  <c r="O289" i="2"/>
  <c r="O288" i="2"/>
  <c r="O303" i="2"/>
  <c r="O301" i="2"/>
  <c r="O237" i="2"/>
  <c r="O238" i="2"/>
  <c r="O239" i="2"/>
  <c r="O241" i="2"/>
  <c r="O242" i="2"/>
  <c r="O243" i="2"/>
  <c r="O244" i="2"/>
  <c r="O245" i="2"/>
  <c r="O246" i="2"/>
  <c r="O247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40" i="2" l="1"/>
  <c r="O216" i="2"/>
  <c r="O215" i="2"/>
  <c r="O214" i="2"/>
  <c r="O212" i="2"/>
  <c r="O211" i="2"/>
  <c r="O210" i="2"/>
  <c r="O206" i="2"/>
  <c r="O208" i="2"/>
  <c r="O207" i="2"/>
  <c r="O204" i="2"/>
  <c r="O203" i="2"/>
  <c r="O202" i="2"/>
  <c r="O200" i="2"/>
  <c r="O199" i="2"/>
  <c r="O198" i="2"/>
  <c r="G153" i="2"/>
  <c r="G152" i="2"/>
  <c r="G181" i="2"/>
  <c r="G180" i="2"/>
  <c r="G179" i="2"/>
  <c r="O177" i="2"/>
  <c r="O176" i="2"/>
  <c r="O175" i="2"/>
  <c r="O181" i="2" l="1"/>
  <c r="O179" i="2"/>
  <c r="O180" i="2"/>
  <c r="O142" i="2" l="1"/>
  <c r="O140" i="2"/>
  <c r="O138" i="2"/>
  <c r="O101" i="2"/>
  <c r="G105" i="2"/>
  <c r="O105" i="2" s="1"/>
  <c r="G104" i="2"/>
  <c r="O104" i="2" s="1"/>
  <c r="O102" i="2"/>
  <c r="O99" i="2"/>
  <c r="O98" i="2"/>
  <c r="G121" i="2"/>
  <c r="O121" i="2" s="1"/>
  <c r="G120" i="2"/>
  <c r="O120" i="2" s="1"/>
  <c r="G119" i="2"/>
  <c r="O119" i="2" s="1"/>
  <c r="G134" i="2"/>
  <c r="O134" i="2" s="1"/>
  <c r="G133" i="2"/>
  <c r="O133" i="2" s="1"/>
  <c r="G132" i="2"/>
  <c r="O132" i="2" s="1"/>
  <c r="G130" i="2"/>
  <c r="O130" i="2" s="1"/>
  <c r="G129" i="2"/>
  <c r="O129" i="2" s="1"/>
  <c r="G128" i="2"/>
  <c r="O128" i="2" s="1"/>
  <c r="O161" i="2"/>
  <c r="G115" i="2"/>
  <c r="O115" i="2" s="1"/>
  <c r="G114" i="2"/>
  <c r="O114" i="2" s="1"/>
  <c r="G113" i="2"/>
  <c r="O113" i="2" s="1"/>
  <c r="G58" i="2"/>
  <c r="O58" i="2" s="1"/>
  <c r="G57" i="2"/>
  <c r="O57" i="2" s="1"/>
  <c r="G145" i="2"/>
  <c r="O145" i="2" s="1"/>
  <c r="G146" i="2"/>
  <c r="O146" i="2" s="1"/>
  <c r="G144" i="2"/>
  <c r="O144" i="2" s="1"/>
  <c r="G55" i="2"/>
  <c r="O55" i="2" s="1"/>
  <c r="G54" i="2"/>
  <c r="O136" i="2" l="1"/>
  <c r="O141" i="2"/>
  <c r="O137" i="2"/>
  <c r="O160" i="2"/>
  <c r="O152" i="2"/>
  <c r="O153" i="2"/>
  <c r="O54" i="2"/>
  <c r="O159" i="2" l="1"/>
  <c r="G76" i="2"/>
  <c r="G66" i="2"/>
  <c r="O66" i="2" s="1"/>
  <c r="G65" i="2"/>
  <c r="G64" i="2"/>
  <c r="O64" i="2" s="1"/>
  <c r="G62" i="2"/>
  <c r="O62" i="2" s="1"/>
  <c r="G61" i="2"/>
  <c r="G60" i="2"/>
  <c r="O60" i="2" s="1"/>
  <c r="O65" i="2" l="1"/>
  <c r="O61" i="2"/>
  <c r="O157" i="2" l="1"/>
  <c r="O156" i="2"/>
  <c r="O155" i="2"/>
  <c r="O126" i="2"/>
  <c r="O117" i="2"/>
  <c r="O116" i="2"/>
  <c r="O87" i="2"/>
  <c r="O184" i="2"/>
  <c r="O183" i="2"/>
  <c r="O192" i="2"/>
  <c r="O191" i="2"/>
  <c r="O190" i="2"/>
  <c r="O188" i="2"/>
  <c r="O187" i="2"/>
  <c r="O186" i="2"/>
  <c r="O169" i="2"/>
  <c r="O168" i="2"/>
  <c r="O167" i="2"/>
  <c r="O165" i="2"/>
  <c r="O164" i="2"/>
  <c r="O163" i="2"/>
  <c r="O196" i="2"/>
  <c r="O38" i="2" l="1"/>
  <c r="O24" i="2"/>
  <c r="O172" i="2"/>
  <c r="O171" i="2"/>
  <c r="O173" i="2"/>
  <c r="O195" i="2"/>
  <c r="O194" i="2" l="1"/>
  <c r="G150" i="2"/>
  <c r="O150" i="2" s="1"/>
  <c r="G149" i="2"/>
  <c r="O149" i="2" s="1"/>
  <c r="G148" i="2"/>
  <c r="O148" i="2" s="1"/>
  <c r="O300" i="2" l="1"/>
  <c r="O299" i="2"/>
  <c r="G111" i="2"/>
  <c r="G110" i="2"/>
  <c r="G52" i="2"/>
  <c r="G51" i="2"/>
  <c r="G48" i="2"/>
  <c r="G49" i="2"/>
  <c r="O49" i="2" l="1"/>
  <c r="O111" i="2"/>
  <c r="O110" i="2"/>
  <c r="G93" i="2"/>
  <c r="O93" i="2" s="1"/>
  <c r="O92" i="2"/>
  <c r="G125" i="2" l="1"/>
  <c r="O125" i="2" s="1"/>
  <c r="G124" i="2"/>
  <c r="O124" i="2" s="1"/>
  <c r="G123" i="2"/>
  <c r="O123" i="2" s="1"/>
  <c r="O51" i="2"/>
  <c r="O52" i="2" l="1"/>
  <c r="O48" i="2" l="1"/>
  <c r="O22" i="2" l="1"/>
  <c r="O20" i="2"/>
  <c r="G90" i="2" l="1"/>
  <c r="O90" i="2" s="1"/>
  <c r="G108" i="2"/>
  <c r="G107" i="2"/>
  <c r="O89" i="2"/>
  <c r="O307" i="2" l="1"/>
  <c r="O308" i="2" s="1"/>
  <c r="O312" i="2"/>
  <c r="O108" i="2"/>
  <c r="O107" i="2"/>
  <c r="G86" i="2" l="1"/>
  <c r="O86" i="2" s="1"/>
  <c r="G85" i="2"/>
  <c r="O85" i="2" s="1"/>
  <c r="G84" i="2"/>
  <c r="O84" i="2" s="1"/>
  <c r="G78" i="2"/>
  <c r="G77" i="2"/>
  <c r="O77" i="2" s="1"/>
  <c r="O78" i="2" l="1"/>
  <c r="O76" i="2"/>
  <c r="O23" i="2"/>
  <c r="O21" i="2" l="1"/>
  <c r="G11" i="2" l="1"/>
  <c r="G13" i="2"/>
  <c r="O13" i="2" s="1"/>
  <c r="G14" i="2"/>
  <c r="G16" i="2"/>
  <c r="G18" i="2"/>
  <c r="O18" i="2" s="1"/>
  <c r="G19" i="2"/>
  <c r="G68" i="2"/>
  <c r="G69" i="2"/>
  <c r="G70" i="2"/>
  <c r="O72" i="2"/>
  <c r="O73" i="2"/>
  <c r="G74" i="2"/>
  <c r="O74" i="2" s="1"/>
  <c r="G95" i="2"/>
  <c r="O95" i="2" s="1"/>
  <c r="G96" i="2"/>
  <c r="O96" i="2" s="1"/>
  <c r="O234" i="2" l="1"/>
  <c r="O70" i="2"/>
  <c r="O69" i="2"/>
  <c r="O68" i="2"/>
  <c r="O16" i="2"/>
  <c r="O14" i="2" l="1"/>
  <c r="O19" i="2"/>
  <c r="O233" i="2"/>
  <c r="O44" i="2" l="1"/>
  <c r="O45" i="2" s="1"/>
  <c r="O310" i="2" s="1"/>
  <c r="O309" i="2" l="1"/>
  <c r="O311" i="2" s="1"/>
  <c r="O313" i="2" l="1"/>
  <c r="O314" i="2" s="1"/>
  <c r="O315" i="2" s="1"/>
  <c r="O316" i="2" s="1"/>
  <c r="O317" i="2" l="1"/>
  <c r="O318" i="2" l="1"/>
  <c r="O319" i="2" s="1"/>
  <c r="O320" i="2" s="1"/>
  <c r="O321" i="2" l="1"/>
  <c r="M5" i="2" s="1"/>
  <c r="G13" i="7" l="1"/>
</calcChain>
</file>

<file path=xl/sharedStrings.xml><?xml version="1.0" encoding="utf-8"?>
<sst xmlns="http://schemas.openxmlformats.org/spreadsheetml/2006/main" count="868" uniqueCount="361">
  <si>
    <t>მ3</t>
  </si>
  <si>
    <t>კაც.სთ</t>
  </si>
  <si>
    <t>ტ</t>
  </si>
  <si>
    <t xml:space="preserve">გაურეცხავი ქვიშა (შლამი) </t>
  </si>
  <si>
    <t>ლარი</t>
  </si>
  <si>
    <t>მ</t>
  </si>
  <si>
    <t>ც</t>
  </si>
  <si>
    <t xml:space="preserve">ც </t>
  </si>
  <si>
    <t>საბაზრო</t>
  </si>
  <si>
    <t>მ.სთ</t>
  </si>
  <si>
    <t>№</t>
  </si>
  <si>
    <t>სულ (ლარი)</t>
  </si>
  <si>
    <t>ერთ. ფასი</t>
  </si>
  <si>
    <t>ჯამი</t>
  </si>
  <si>
    <t>მასალების ტრანსპორტირება</t>
  </si>
  <si>
    <t>გეგმური დაგროვება</t>
  </si>
  <si>
    <t>დღგ</t>
  </si>
  <si>
    <t>ათასი ლარი</t>
  </si>
  <si>
    <t>ხელფასი</t>
  </si>
  <si>
    <t>მექანიზმები</t>
  </si>
  <si>
    <t xml:space="preserve">1-80-3                            </t>
  </si>
  <si>
    <t xml:space="preserve"> 1-81-3                   </t>
  </si>
  <si>
    <t>სამუშაოებისა და ხარჯების დასახელება</t>
  </si>
  <si>
    <t>მასალა</t>
  </si>
  <si>
    <t>შიფრი, ნორმატივის ნომერი, რესურსების კოდი</t>
  </si>
  <si>
    <t>მანქ. მექანიზმები</t>
  </si>
  <si>
    <t>განზ-ება</t>
  </si>
  <si>
    <t>1-23-6</t>
  </si>
  <si>
    <t>1-2 კაბელის დაფარვა დამცავი ლენტით H=150მმ</t>
  </si>
  <si>
    <t xml:space="preserve"> 8-169-7</t>
  </si>
  <si>
    <t>შრომითი დანახარჯები</t>
  </si>
  <si>
    <t>სხვადასხვა მასალები</t>
  </si>
  <si>
    <t xml:space="preserve">ზედნადები ხარჯები </t>
  </si>
  <si>
    <t xml:space="preserve"> 1-118-11        </t>
  </si>
  <si>
    <t>პნევმომტკეპნავი</t>
  </si>
  <si>
    <t xml:space="preserve">1.  სამშენებლო სამუშაოები </t>
  </si>
  <si>
    <t>სულ ზედნადები ხარჯები</t>
  </si>
  <si>
    <t>10%; 75%</t>
  </si>
  <si>
    <t>ნორმატ. ერთეული</t>
  </si>
  <si>
    <t>გაუთვალისწინებელი ხარჯები</t>
  </si>
  <si>
    <t>დროებითი შენობა-ნაგებობები და მოსამზადებელი სამუშაოები</t>
  </si>
  <si>
    <t xml:space="preserve">თხრ დამუშ III ჯგუფის ყამირში    ხელით კაბ-თვის </t>
  </si>
  <si>
    <t>8-418-3</t>
  </si>
  <si>
    <t>ლოკალურ-რესურსული ხარჯთაღრიცხვა</t>
  </si>
  <si>
    <t>სახარჯთაღრიცხვო ღირებულება</t>
  </si>
  <si>
    <t>ქ. თბილისი 2023წ</t>
  </si>
  <si>
    <t>თხრ დამუშ III კატ ყამირში სანგრევი ჩაქუჩებით</t>
  </si>
  <si>
    <t>სანგრევი ჩაქუჩი</t>
  </si>
  <si>
    <t>ინერტული მასალების შემოზიდვა  20კმ-ზე    (საშუალოდ)</t>
  </si>
  <si>
    <t>სამშენებლო ნაგვის   გატანა   20კმ-ზე  (საშუალოდ)</t>
  </si>
  <si>
    <t>გრუნტის  (ინერტული მასალის)  დატკეპნა პნევმომტკეპნავით</t>
  </si>
  <si>
    <t>ცალი</t>
  </si>
  <si>
    <t xml:space="preserve">საწოლის მომზადება 2 კაბელისათვის </t>
  </si>
  <si>
    <t xml:space="preserve">8-142-1,2                   </t>
  </si>
  <si>
    <t xml:space="preserve">საწოლის მომზადება 5 კაბელისათვის </t>
  </si>
  <si>
    <t>8-145-4</t>
  </si>
  <si>
    <t>8-154-7</t>
  </si>
  <si>
    <t>8-154-4</t>
  </si>
  <si>
    <t>დ/ძ ბოლო ქუროს მონტაჟი 150-240მმ2</t>
  </si>
  <si>
    <t xml:space="preserve"> 8-169-6</t>
  </si>
  <si>
    <t>8-161-21</t>
  </si>
  <si>
    <t>8-161-17</t>
  </si>
  <si>
    <t xml:space="preserve">8-472-3                </t>
  </si>
  <si>
    <t>ზოლ ფოლ მონტაჟი შედუღებითი შეერთებით</t>
  </si>
  <si>
    <t xml:space="preserve">8-471-4                </t>
  </si>
  <si>
    <t>8-62-2</t>
  </si>
  <si>
    <t xml:space="preserve">საბაზრო </t>
  </si>
  <si>
    <t>ძალოვანი ტრანსფორმატორების შემოწმება</t>
  </si>
  <si>
    <t>8-69-1</t>
  </si>
  <si>
    <t>კომპ  3ფაზა</t>
  </si>
  <si>
    <t xml:space="preserve">მ/ძ მცველის მონტაჟი </t>
  </si>
  <si>
    <t>8-573-6</t>
  </si>
  <si>
    <t>8-613-2</t>
  </si>
  <si>
    <t>საკონტროლო კაბელის მონტაჟი</t>
  </si>
  <si>
    <t>8-403-1</t>
  </si>
  <si>
    <t>მეტრი</t>
  </si>
  <si>
    <t>დ/ძ მაერთებელი ქუროს მონტაჟი   150-240მმ2</t>
  </si>
  <si>
    <t>ძალოვანი ტრანსფორმატორების საკონტაქტო მომჭერების მონტაჟი</t>
  </si>
  <si>
    <t>8-53-1</t>
  </si>
  <si>
    <t>8-61-1</t>
  </si>
  <si>
    <t>მ2</t>
  </si>
  <si>
    <t>ნორმატიული რესურსი</t>
  </si>
  <si>
    <t>ასფალტის საფარის აყრა</t>
  </si>
  <si>
    <t>ბეტონის საფარის აყრა</t>
  </si>
  <si>
    <t>სამშენებლო ნაგვის   დატვირთვა ავტოტრანსპორტზე</t>
  </si>
  <si>
    <t>საფ.#3 1984 წ</t>
  </si>
  <si>
    <t>ინერტული მასალის დატვირთვა ავტოტრანსპორტზე</t>
  </si>
  <si>
    <t xml:space="preserve">8-141-2          </t>
  </si>
  <si>
    <t>8-149-3</t>
  </si>
  <si>
    <t>8-154-8</t>
  </si>
  <si>
    <t>8-161-22</t>
  </si>
  <si>
    <t>ათასი ლარი დღგ-ს ჩათვლით</t>
  </si>
  <si>
    <t>3.1.პ.259.  23-2კვ</t>
  </si>
  <si>
    <t>12.პ.305.  23-2კვ</t>
  </si>
  <si>
    <t>12.პ.193.  23-2კვ</t>
  </si>
  <si>
    <t>13.პ.20.  23-2კვ</t>
  </si>
  <si>
    <t>III ჯგუფის ყამირის (ინერტული მასალის)   ჩაყრა თხრილში ხელით</t>
  </si>
  <si>
    <t>27-9</t>
  </si>
  <si>
    <t>ავტოგრეიდერი საშ. ტიპის 79კვტ (108ცხ.ძ)</t>
  </si>
  <si>
    <t xml:space="preserve">სხვა მანქანები </t>
  </si>
  <si>
    <t>12.პ.175.  23-2კვ</t>
  </si>
  <si>
    <t>ქვიშა-ხრეშოვაბი ნარევი</t>
  </si>
  <si>
    <t>3.1.პ.262.  23-2კვ</t>
  </si>
  <si>
    <t>დამხმარე მასალები</t>
  </si>
  <si>
    <t>კგ</t>
  </si>
  <si>
    <t>46-29-1-2</t>
  </si>
  <si>
    <t>ბეტონი</t>
  </si>
  <si>
    <t>ღორღი</t>
  </si>
  <si>
    <t>8-87-1</t>
  </si>
  <si>
    <t>8-88-1</t>
  </si>
  <si>
    <t>კაბელის გატარება მილში</t>
  </si>
  <si>
    <t xml:space="preserve">კაბელის ჩადება თხრილში                                                 </t>
  </si>
  <si>
    <t>მ/ძ ბოლო ქუროს მონტაჟი დამიწების არმატურასთან ერთად  95მმ2</t>
  </si>
  <si>
    <t xml:space="preserve">მ/ძ ბოლო ქუროს მონტაჟი დამიწების არმატურასთან ერთად 240მმ2  </t>
  </si>
  <si>
    <t>მ/ძ მაერთებელი ქუროს მონტაჟი   240მმ2</t>
  </si>
  <si>
    <t>3. მოწყობილობები და  მასალები</t>
  </si>
  <si>
    <t>კ=0.7</t>
  </si>
  <si>
    <t>ძალოვანი ტრანსფორმატორის   დემონტაჟი 3ტ-მდე</t>
  </si>
  <si>
    <t>10კვ უჯრედის დემონტაჟი</t>
  </si>
  <si>
    <t>კაბელების ძარღვების მიერთება მომჭერებთან 240მმ2</t>
  </si>
  <si>
    <t>კაბელების ძარღვების მიერთება მომჭერებთან 95მმ2</t>
  </si>
  <si>
    <t>გადამეტძაბვის შემზღუდველის მონტაჟი  9ცალი-3კომპ</t>
  </si>
  <si>
    <t>სულ           რ-ბა</t>
  </si>
  <si>
    <t>8-52-1</t>
  </si>
  <si>
    <t xml:space="preserve">მ </t>
  </si>
  <si>
    <t>სულ სამშენებლო სამუშაოები   1</t>
  </si>
  <si>
    <t>სულ მასალები   3</t>
  </si>
  <si>
    <t>ჯამი 1 + 2 + 3</t>
  </si>
  <si>
    <t xml:space="preserve">ჯამი ზედნადებ ხარჯებთან ერთად </t>
  </si>
  <si>
    <t xml:space="preserve">ჯამი გეგმურ დაგროვებასთან ერთად </t>
  </si>
  <si>
    <t xml:space="preserve">ჯამი გაუთვალისწინებელ ხარჯებთან ერთად </t>
  </si>
  <si>
    <t xml:space="preserve">  ჯამი</t>
  </si>
  <si>
    <t>პლასტმასის სქელკედლა მილის ჩაწყობა თხრილში</t>
  </si>
  <si>
    <t xml:space="preserve">ზოლოვანი ფოლადი 40*4მმ </t>
  </si>
  <si>
    <t>1.7.პ.55.  23-2კვ</t>
  </si>
  <si>
    <t xml:space="preserve">დამიწების ღეროს (კუთხოვანას) მონტაჟი   </t>
  </si>
  <si>
    <t>ზედნადები ხარჯები ხელფასიდან</t>
  </si>
  <si>
    <t xml:space="preserve">8-91-4             </t>
  </si>
  <si>
    <t>შედუღების სამუშაოები</t>
  </si>
  <si>
    <t xml:space="preserve">სახარჯთაღრიცხვო ღირებულება  მიმდინარე დონეზე დღგ-ს ჩათვლით                                                                       </t>
  </si>
  <si>
    <t xml:space="preserve">ალ. ყაზბეგის გამზ. #47.   ს/ქ  #3532                                                                                                                </t>
  </si>
  <si>
    <t>ს/ქ-ის გადატანა ახალ ს/ქ-ში</t>
  </si>
  <si>
    <t>0.4კვ უჯრედის დემონტაჟი</t>
  </si>
  <si>
    <t xml:space="preserve">8-90-2 </t>
  </si>
  <si>
    <t>აღრიცხვის ჯვანძების  დემონტაჟი  1ადგ-3ფ</t>
  </si>
  <si>
    <t>ძალოვანი ტრანსფორმატორის    მონტაჟი 3ტ-მდე                                          ( მშრალი 630-1000კვა)</t>
  </si>
  <si>
    <t>სალტეების  მონტაჟი   1000მმ2-მდე</t>
  </si>
  <si>
    <t>8-71-3</t>
  </si>
  <si>
    <t>დენის ტრ-ის მონტაჟი ნულოვანი მიმდევრობის</t>
  </si>
  <si>
    <t>აღრიცხვის კვანძების  მონტაჟი  1ადგ-3ფ                                                                 8ც გადასატანი + 2ც საბალანსო</t>
  </si>
  <si>
    <t>საყრდენი იზოლატორის მონტაჟი 0.4-6/10კვ</t>
  </si>
  <si>
    <t>8-54-2</t>
  </si>
  <si>
    <t xml:space="preserve">მ/ძ უჯრედის მონტაჟი  (დატვირთვის ამომრთ)  </t>
  </si>
  <si>
    <t xml:space="preserve">მ/ძ  უჯრედის გაწყობა-გამართვა (ვაკუუმური ამომრთ)  </t>
  </si>
  <si>
    <t xml:space="preserve">მ/ძ უჯრედის მონტაჟი  (ვაკუუმური ამომრთ)  </t>
  </si>
  <si>
    <t>დ/ძ უჯრედის მონტაჟი</t>
  </si>
  <si>
    <t>სამფაზა მრიცხველის  მონტაჟი   მ/ძ საბალანსო</t>
  </si>
  <si>
    <t xml:space="preserve">ძალოვანი ტრანსფორმატორის   დამიწების გვარლის მონტაჟი </t>
  </si>
  <si>
    <t>8-471-4</t>
  </si>
  <si>
    <t>ძაბვის ტრ-რის მონტაჟი  სამფაზა</t>
  </si>
  <si>
    <t>მ/ძ მაერთებელი ქუროს მონტაჟი   95მმ2</t>
  </si>
  <si>
    <t>სულ სადემონტაჟო- სამონტაჟო სამუშაოები   2</t>
  </si>
  <si>
    <t xml:space="preserve">2.  სადემონტაჟო -  სამონტაჟო  სამუშაოები </t>
  </si>
  <si>
    <t xml:space="preserve">საკლემე ბლოკის მონტაჟი </t>
  </si>
  <si>
    <t>8-534-2</t>
  </si>
  <si>
    <t>კომპლ.</t>
  </si>
  <si>
    <t>შესადუღებელი ელექტროდი</t>
  </si>
  <si>
    <t>სასიგნალო (გამაფრთხილებელი) ლენტი ЛСЭ-150 (სიგანე – 150 mm);</t>
  </si>
  <si>
    <t>8-472-5</t>
  </si>
  <si>
    <t>მრგვალის ნაგლინის  მონტაჟი</t>
  </si>
  <si>
    <t>8-82-3</t>
  </si>
  <si>
    <t xml:space="preserve">სასალტე ხიდის მონტაჟი  მონტაჟი </t>
  </si>
  <si>
    <t>8-610-1</t>
  </si>
  <si>
    <t xml:space="preserve">დამწევი ტრანსფორმატორის მონტაჟი </t>
  </si>
  <si>
    <t xml:space="preserve">ჩამრთველ-ამომრთველის  მონტაჟი </t>
  </si>
  <si>
    <t xml:space="preserve">როზეტის  მონტაჟი </t>
  </si>
  <si>
    <t>8-591-8</t>
  </si>
  <si>
    <t xml:space="preserve">სანათის   მონტაჟი </t>
  </si>
  <si>
    <t>8-593-1</t>
  </si>
  <si>
    <t>გამანაწილებელი კოლოფის მონტაჟი</t>
  </si>
  <si>
    <t>8-414-6</t>
  </si>
  <si>
    <t>8-146-1</t>
  </si>
  <si>
    <t xml:space="preserve">კაბელის მონტაჟი კედელზე  </t>
  </si>
  <si>
    <t>1000კვა</t>
  </si>
  <si>
    <t>630კვა</t>
  </si>
  <si>
    <t>КСО-399</t>
  </si>
  <si>
    <t>ტრანსფორმატორი ძაბვის (ან სამი ცალი ცალფაზა)</t>
  </si>
  <si>
    <t>მცველი ბუდით (ძ/ტრ-თვის)</t>
  </si>
  <si>
    <t>ПКН 001-10 У3</t>
  </si>
  <si>
    <t>კომპ.</t>
  </si>
  <si>
    <t>მცველი 6კვ. ძაბვისთვის,Uკომპ 3 ც</t>
  </si>
  <si>
    <t>160ა</t>
  </si>
  <si>
    <t>315ა</t>
  </si>
  <si>
    <t>კარადა ЩО-99, 1600გამთ+1600ამომ-ით (შემტ)</t>
  </si>
  <si>
    <t>1600გამთ+1600ამომ</t>
  </si>
  <si>
    <t>კარადა ЩО-99, 1000გამთ+1000ამომ-ით (შემტ)</t>
  </si>
  <si>
    <t>1000გამთ+1000ამომ</t>
  </si>
  <si>
    <t>კარადა ЩО-99, 1600, სასექციო</t>
  </si>
  <si>
    <t>1000А</t>
  </si>
  <si>
    <t>კარადა ЩО-99, 6х400А, სახაზო</t>
  </si>
  <si>
    <t>6х400А</t>
  </si>
  <si>
    <t>იზოლატორი  6-10 კვ. ძაბვაზე</t>
  </si>
  <si>
    <t>ИОР-10-3,75</t>
  </si>
  <si>
    <t>იზოლატორი საყრდენი 0.4 კვ</t>
  </si>
  <si>
    <t>-</t>
  </si>
  <si>
    <t>სალტე ალუმინის</t>
  </si>
  <si>
    <t>100X8 მმ</t>
  </si>
  <si>
    <t>ОПНп6</t>
  </si>
  <si>
    <t>დენის ტრანსფორმატორი ნულოვან სალტეზე 800/5</t>
  </si>
  <si>
    <t>დენის ტრანსფორმატორი ნულოვან სალტეზე 600/5</t>
  </si>
  <si>
    <t>დენის ტრანსფორმატორი ნულოვან სალტეზე 1500/5</t>
  </si>
  <si>
    <t>დენის ტრანსფორმატორი ნულოვან სალტეზე 1000/5</t>
  </si>
  <si>
    <t>მრიცხველის კარადა (საბალანსო)</t>
  </si>
  <si>
    <t>ტრ-ის დამიწების გვარლი D-13, 4 მეტრი სიგრძის</t>
  </si>
  <si>
    <t>ТК7-37</t>
  </si>
  <si>
    <t xml:space="preserve">ხის ძელი ბარიერი 80*60, L=2000m </t>
  </si>
  <si>
    <t>NA2XSEY-10 1(3x150) RM/35</t>
  </si>
  <si>
    <t>NA2XSEY-10 1(3x95) RM/25</t>
  </si>
  <si>
    <t>ქურო საბოლოო 6კვ</t>
  </si>
  <si>
    <r>
      <t>ПКВТО</t>
    </r>
    <r>
      <rPr>
        <sz val="11"/>
        <rFont val="Calibri"/>
        <family val="2"/>
        <charset val="204"/>
      </rPr>
      <t>-3-10/</t>
    </r>
    <r>
      <rPr>
        <sz val="11"/>
        <rFont val="Sylfaen"/>
        <family val="1"/>
        <charset val="204"/>
      </rPr>
      <t>150-240</t>
    </r>
  </si>
  <si>
    <r>
      <t>ПКВТО</t>
    </r>
    <r>
      <rPr>
        <sz val="11"/>
        <rFont val="Calibri"/>
        <family val="2"/>
        <charset val="204"/>
      </rPr>
      <t>-3-10/</t>
    </r>
    <r>
      <rPr>
        <sz val="11"/>
        <rFont val="Sylfaen"/>
        <family val="1"/>
        <charset val="204"/>
      </rPr>
      <t>70-120</t>
    </r>
  </si>
  <si>
    <t>ქურო შემაერთებელი 6კვ</t>
  </si>
  <si>
    <t>დამამიწებელი სადენის მისაერთებელი არმატურა</t>
  </si>
  <si>
    <t>ЛСЭ-150</t>
  </si>
  <si>
    <t xml:space="preserve">ალუმინის ოთხძარღვა კაბელი  </t>
  </si>
  <si>
    <t>АВВГ-1(4x185) მმ^2</t>
  </si>
  <si>
    <t>АВВГ-1(4x240) მმ^2</t>
  </si>
  <si>
    <r>
      <t>ქურო</t>
    </r>
    <r>
      <rPr>
        <sz val="11"/>
        <rFont val="AcadNusx"/>
      </rPr>
      <t xml:space="preserve"> </t>
    </r>
    <r>
      <rPr>
        <sz val="11"/>
        <rFont val="Sylfaen"/>
        <family val="1"/>
        <charset val="204"/>
      </rPr>
      <t>საბოლოო 0,4 კვ</t>
    </r>
  </si>
  <si>
    <r>
      <t>1ПКВТпН-</t>
    </r>
    <r>
      <rPr>
        <sz val="11"/>
        <rFont val="Sylfaen"/>
        <family val="1"/>
        <charset val="204"/>
      </rPr>
      <t>6</t>
    </r>
  </si>
  <si>
    <t>ქურო შემაერთებელი 0,4 კვ</t>
  </si>
  <si>
    <t>ПСТТ/4x150-240</t>
  </si>
  <si>
    <t>ძალოვანი ტრანსფორმატორი 1000კვა (მშრალი შესრულებით)  გაგრილების სისტემით</t>
  </si>
  <si>
    <t>ძალოვანი ტრანსფორმატორი 630კვა (მშრალი შესრულებით)  გაგრილების სისტემით</t>
  </si>
  <si>
    <t>НТМИ-6, ან НОМ-6</t>
  </si>
  <si>
    <t>საკლემე ბლოკი იზოლირებული</t>
  </si>
  <si>
    <t>24 მომჭ</t>
  </si>
  <si>
    <t>კაბელი სპილენძს, საკონტროლო</t>
  </si>
  <si>
    <t>КВВГ-4, 4x2.5 მმ2</t>
  </si>
  <si>
    <t>გადამეტძაბვის შემზღუდველი  ОПНп–6,3/7,5 УХЛ1</t>
  </si>
  <si>
    <t>Т, TШ, ТНШЛ-0,66</t>
  </si>
  <si>
    <t>კამერა ვაკუუმური ამომრთველით (შემტანი), დენის ტრ-ებით, მიკროპროცესორული დაცვით</t>
  </si>
  <si>
    <t>კამერა ვაკუუმური ამომრთველით (სასექციო)  დენის ტრ-ებით, მიკროპროცესორული დაცვით</t>
  </si>
  <si>
    <t>კამერა დატვირთვის ამომრთველით და მცველებით (ტრანსფორმატორისთვის)</t>
  </si>
  <si>
    <t>კამერა დატვირთვის ამომრთველით და მცველებით (რეზერვი)</t>
  </si>
  <si>
    <r>
      <t>6</t>
    </r>
    <r>
      <rPr>
        <b/>
        <sz val="11"/>
        <color rgb="FF000000"/>
        <rFont val="Sylfaen"/>
        <family val="1"/>
        <charset val="204"/>
      </rPr>
      <t>კვ კაბელები და აქსესუარები</t>
    </r>
  </si>
  <si>
    <t>ალუმინის კაბელი (ან ანალოგი)</t>
  </si>
  <si>
    <r>
      <t>ПСТО-3-10/</t>
    </r>
    <r>
      <rPr>
        <sz val="11"/>
        <rFont val="Sylfaen"/>
        <family val="1"/>
        <charset val="204"/>
      </rPr>
      <t>70-120</t>
    </r>
  </si>
  <si>
    <t>ПСТО-3-10/150-240</t>
  </si>
  <si>
    <r>
      <t>0,4</t>
    </r>
    <r>
      <rPr>
        <b/>
        <sz val="11"/>
        <color rgb="FF000000"/>
        <rFont val="Sylfaen"/>
        <family val="1"/>
        <charset val="204"/>
      </rPr>
      <t>კვ საკაბელო ხაზი</t>
    </r>
  </si>
  <si>
    <t>40x25</t>
  </si>
  <si>
    <t>კუთხოვანა</t>
  </si>
  <si>
    <t>30x25</t>
  </si>
  <si>
    <t>ლითონის ბადე</t>
  </si>
  <si>
    <t>ლითონის გლინულა</t>
  </si>
  <si>
    <t>ИО-10</t>
  </si>
  <si>
    <t>ალ. სალტე</t>
  </si>
  <si>
    <t>АДЗ1т 60x8</t>
  </si>
  <si>
    <t>შიდა დაყენების ერთ პოლუსა ამომრთველი 10ა</t>
  </si>
  <si>
    <t>ორ პოლუსა შტეპსელური როზეტი ცვ-220 ვ</t>
  </si>
  <si>
    <t>კარადის შიდა სანათის ჩამრთველი</t>
  </si>
  <si>
    <t>განმაშტოებელი ყუთი</t>
  </si>
  <si>
    <t xml:space="preserve">ფოლადის მრგვალი ნაგლინი </t>
  </si>
  <si>
    <t xml:space="preserve">40*4მმ </t>
  </si>
  <si>
    <t xml:space="preserve">50*50*5მმ  </t>
  </si>
  <si>
    <t xml:space="preserve">დამიწების ღერო 2.5მ ან   კუთხოვანა   </t>
  </si>
  <si>
    <t xml:space="preserve">დამიწების საინსპექციო ჭა </t>
  </si>
  <si>
    <r>
      <rPr>
        <sz val="11"/>
        <rFont val="Symbol"/>
        <family val="1"/>
        <charset val="2"/>
      </rPr>
      <t>Æ</t>
    </r>
    <r>
      <rPr>
        <sz val="11"/>
        <rFont val="Sylfaen"/>
        <family val="1"/>
        <charset val="204"/>
      </rPr>
      <t xml:space="preserve"> 10</t>
    </r>
  </si>
  <si>
    <r>
      <t xml:space="preserve">Æ </t>
    </r>
    <r>
      <rPr>
        <sz val="11"/>
        <rFont val="Sylfaen"/>
        <family val="1"/>
        <charset val="204"/>
      </rPr>
      <t>110/94 KF09110</t>
    </r>
  </si>
  <si>
    <t>შველერი #5</t>
  </si>
  <si>
    <t>სამფაზა ლექტრონული მრიცხველი შემდეგი მახასიათებლებით: ნომ. ძაბვა UN=380/220ვ,ნომ. დენი IN=5, სიზუსტის კლასი არაუმეტეს 0,5, მთვლელი მექანიზიმ არანაკლებ 5+1 (საბალანსო)</t>
  </si>
  <si>
    <t>8-147-5</t>
  </si>
  <si>
    <t>საკაბელო დგარის  მონტაჟი</t>
  </si>
  <si>
    <t>საკაბელო თაროს  მონტაჟი</t>
  </si>
  <si>
    <t>8-147-8</t>
  </si>
  <si>
    <t>8-406-11</t>
  </si>
  <si>
    <t>მილის მონტაჟი კედელში კაბელისთვის 0.5მ-48ც</t>
  </si>
  <si>
    <t>9-12-1</t>
  </si>
  <si>
    <t>კუთხოვანის და დაღარული ფოლადის მოწყობა საკაბელო არხისთვის</t>
  </si>
  <si>
    <t>12.პ.42. 23-2კვ</t>
  </si>
  <si>
    <t>სხვა მექანიზმები</t>
  </si>
  <si>
    <t>1.5.პ.51. 23-2კვ</t>
  </si>
  <si>
    <t>1.6.პ.39. 23-2კვ</t>
  </si>
  <si>
    <t>კუთხოვანა  (პრ. მიხედვით) 50*50*4მმ</t>
  </si>
  <si>
    <t>დაღარული ფოლადი 5მმ სისქის  (პრ. მიხედვით)</t>
  </si>
  <si>
    <t>ამწე მუხლუხა სვლაზე 40ტ</t>
  </si>
  <si>
    <t>12.პ.26. 23-2კვ</t>
  </si>
  <si>
    <t>ჯოჯგინა ამწე 30ტ</t>
  </si>
  <si>
    <t>6-26-3</t>
  </si>
  <si>
    <t xml:space="preserve">მონოლითური რ/ბ კედლებისა და ძირის მოწყობა სწორხაზოვანი კონსტრუქციის  - საკაბელო არხის მოწყობა  </t>
  </si>
  <si>
    <t>არმატურა А1</t>
  </si>
  <si>
    <t>არმატურა А3</t>
  </si>
  <si>
    <t>1.1.პ.1. 23-2კვ</t>
  </si>
  <si>
    <t>1.1.პ.14. 23-2კვ</t>
  </si>
  <si>
    <t>3.1.პ.367. 23-2კვ</t>
  </si>
  <si>
    <t>ფიცარი  ჩამოგანული 25-32მმ სისქის  III ხარისხის</t>
  </si>
  <si>
    <t>ფიცარი  ჩამოგანული 40-60მმ სისქის   III ხარისხის</t>
  </si>
  <si>
    <t>ხის ძელაკები  40-60მმ    III ხარისხის</t>
  </si>
  <si>
    <t>ყალიბის ფიცარი  25მმ სისქის</t>
  </si>
  <si>
    <t>4.პ.21.  23-2კვ</t>
  </si>
  <si>
    <t>4.პ.12.  23-2კვ</t>
  </si>
  <si>
    <t>4.პ.15.  23-2კვ</t>
  </si>
  <si>
    <t>4.პ.120.  23-2კვ</t>
  </si>
  <si>
    <t xml:space="preserve">კაბელის გატარება ქ/ს-ში   (საკაბელო არხში)   თაროზე                                                                    </t>
  </si>
  <si>
    <t>8-148-11</t>
  </si>
  <si>
    <t xml:space="preserve">კაბელის გატარება ქ/ს-ში   (საკაბელო არხში ფსკერზე)                                                                      </t>
  </si>
  <si>
    <t>პლასტმასის  გოფრირებული დრეკადი მილი ძნელადწვადი</t>
  </si>
  <si>
    <t>საკაბელო დგარი (იხ. პროექტი)</t>
  </si>
  <si>
    <t>საკაბელო თარო  (იხ. პროექტი)</t>
  </si>
  <si>
    <t>7.9.პ.26. 23-2კვ</t>
  </si>
  <si>
    <t>7.12.პ.18. 23-2კვ</t>
  </si>
  <si>
    <t>7.9.პ.24. 23-2კვ</t>
  </si>
  <si>
    <t>7.12.პ.346. 23-2კვ</t>
  </si>
  <si>
    <t>7.13.პ.8.  23-2კვ</t>
  </si>
  <si>
    <t>1.1.პ.37.  23-2კვ.</t>
  </si>
  <si>
    <t>7.13.პ.7.  23-2კვ</t>
  </si>
  <si>
    <t>1.5.პ.15.  23-2კვ.</t>
  </si>
  <si>
    <t>1.5.პ.40.  23-2კვ.</t>
  </si>
  <si>
    <t>1.1.პ.2.  23-2კვ.</t>
  </si>
  <si>
    <t>4-5.5მმ</t>
  </si>
  <si>
    <t>7.9.პ.20.  23-2კვ</t>
  </si>
  <si>
    <t>7.8.პ.7.  23-2კვ</t>
  </si>
  <si>
    <t>საყრდენი იზოლატორი</t>
  </si>
  <si>
    <t>სასალტე ხიდი</t>
  </si>
  <si>
    <t>განათება</t>
  </si>
  <si>
    <t>7.2.პ.82. 23-2კვ</t>
  </si>
  <si>
    <t>7.2.პ.84. 23-2კვ</t>
  </si>
  <si>
    <t>EAKT</t>
  </si>
  <si>
    <t>7.9.პ.94. 23-2კვ</t>
  </si>
  <si>
    <t>7.8.პ.3. 23-2კვ</t>
  </si>
  <si>
    <t>7.8.პ.2. 23-2კვ</t>
  </si>
  <si>
    <t>7.8.პ.9. 23-2კვ</t>
  </si>
  <si>
    <t>7.8.პ.10. 23-2კვ</t>
  </si>
  <si>
    <t>7.2.პ.71. 23-2კვ</t>
  </si>
  <si>
    <t>7.2.პ.70. 23-2კვ</t>
  </si>
  <si>
    <t>7.3.პ.198. 23-2კვ</t>
  </si>
  <si>
    <t>80X8 მმ</t>
  </si>
  <si>
    <t>საბაზრ</t>
  </si>
  <si>
    <t>1.1.პ.39. 23-2კვ</t>
  </si>
  <si>
    <t>80*60მმ, L=2000მმ - 2ც</t>
  </si>
  <si>
    <t>7.3.პ.198.  23-2კვ</t>
  </si>
  <si>
    <t>7.3.პ.192.  23-2კვ</t>
  </si>
  <si>
    <t>7.3.პ.191.  23-2კვ</t>
  </si>
  <si>
    <t>დამიწება</t>
  </si>
  <si>
    <t>საკაბელო არხი</t>
  </si>
  <si>
    <t>ЛСП-2х18 ЭПРА IP65</t>
  </si>
  <si>
    <t>ძაბვის ტრ-რი 220/36ვ 250 ვა</t>
  </si>
  <si>
    <t xml:space="preserve"> ЯТП- 0,25</t>
  </si>
  <si>
    <t xml:space="preserve">უჯრედის შიდა განათების სანათი (შუქდიოდი)
</t>
  </si>
  <si>
    <t>ACB-3-36B/MO/E27</t>
  </si>
  <si>
    <t xml:space="preserve">სპილენძის სადენი </t>
  </si>
  <si>
    <t>ВВГнг-LS-4х4</t>
  </si>
  <si>
    <t>ВВГнг- LS-2х2,5</t>
  </si>
  <si>
    <t>ВВГнг- LS-2х1,5</t>
  </si>
  <si>
    <t>შენიშვნა: ხარჯთაღრიცხვაში არ არის შეტანილი ს/ქ-ის შენობის დემონტაჟისა და  ახალი ქ/ს-ის მშენებლობის სამშენებლო სამუშაოები</t>
  </si>
  <si>
    <t xml:space="preserve"> 5მ სიგრძის -1.5მ სიმაღლის 25*25მმ</t>
  </si>
  <si>
    <t xml:space="preserve">ალ. ყაზბეგის გამზ. #47.   ს/ქ  #3532                                                                                                                                                                                                                                                                                              ს/ქ-ის გადატანა ახალ ს/ქ-ში                                                                                       მუშა პროექტი 
</t>
  </si>
  <si>
    <t>დამკვეთი: შ.პ.ს. "ყაზბეგის 47"</t>
  </si>
  <si>
    <t>7.9.პ.62. 23-2კვ</t>
  </si>
  <si>
    <t>7.9.პ.63. 23-2კვ</t>
  </si>
  <si>
    <t>დღის განათების ლუმინესცენტული სანათი</t>
  </si>
  <si>
    <t xml:space="preserve"> ხარჯთაღრიცხვა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</si>
</sst>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_-* #,##0.000_р_._-;\-* #,##0.000_р_._-;_-* &quot;-&quot;???_р_._-;_-@_-"/>
  </numFmts>
  <fonts count="4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cadNusx"/>
    </font>
    <font>
      <b/>
      <sz val="10"/>
      <name val="AcadNusx"/>
    </font>
    <font>
      <sz val="10"/>
      <name val="Arial"/>
      <family val="2"/>
      <charset val="204"/>
    </font>
    <font>
      <sz val="10.1"/>
      <name val="Geo_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Narrow"/>
      <family val="2"/>
    </font>
    <font>
      <sz val="11"/>
      <name val="AcadNusx"/>
    </font>
    <font>
      <b/>
      <sz val="10.1"/>
      <name val="Geo_Arial"/>
      <family val="2"/>
    </font>
    <font>
      <sz val="10"/>
      <name val="Sylfaen"/>
      <family val="1"/>
    </font>
    <font>
      <b/>
      <sz val="12"/>
      <name val="Calibri"/>
      <family val="2"/>
      <scheme val="minor"/>
    </font>
    <font>
      <b/>
      <sz val="10"/>
      <name val="Sylfaen"/>
      <family val="1"/>
    </font>
    <font>
      <sz val="9"/>
      <name val="Sylfaen"/>
      <family val="1"/>
    </font>
    <font>
      <sz val="10"/>
      <name val="Calibri"/>
      <family val="2"/>
      <scheme val="minor"/>
    </font>
    <font>
      <sz val="11"/>
      <name val="Times New Roman"/>
      <family val="1"/>
      <charset val="204"/>
    </font>
    <font>
      <sz val="11"/>
      <name val="Sylfaen"/>
      <family val="1"/>
    </font>
    <font>
      <b/>
      <sz val="12"/>
      <name val="AcadNusx"/>
    </font>
    <font>
      <sz val="12"/>
      <name val="Arial Cyr"/>
      <family val="2"/>
      <charset val="204"/>
    </font>
    <font>
      <sz val="12"/>
      <name val="AcadNusx"/>
    </font>
    <font>
      <b/>
      <sz val="10"/>
      <name val="Sylfaen"/>
      <family val="1"/>
      <charset val="204"/>
    </font>
    <font>
      <b/>
      <sz val="9"/>
      <name val="Sylfaen"/>
      <family val="1"/>
      <charset val="204"/>
    </font>
    <font>
      <sz val="14"/>
      <name val="AcadNusx"/>
    </font>
    <font>
      <b/>
      <sz val="11"/>
      <name val="AcadNusx"/>
    </font>
    <font>
      <sz val="11"/>
      <name val="Sylfaen"/>
      <family val="1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2"/>
      <name val="Sylfaen"/>
      <family val="1"/>
      <charset val="204"/>
    </font>
    <font>
      <b/>
      <sz val="14"/>
      <name val="AcadNusx"/>
    </font>
    <font>
      <b/>
      <sz val="18"/>
      <name val="AcadNusx"/>
    </font>
    <font>
      <b/>
      <sz val="22"/>
      <name val="AcadNusx"/>
    </font>
    <font>
      <b/>
      <sz val="24"/>
      <name val="AcadNusx"/>
    </font>
    <font>
      <b/>
      <sz val="11"/>
      <name val="Calibri"/>
      <family val="2"/>
      <scheme val="minor"/>
    </font>
    <font>
      <sz val="12"/>
      <name val="Sylfaen"/>
      <family val="1"/>
      <charset val="204"/>
    </font>
    <font>
      <sz val="11"/>
      <color rgb="FF000000"/>
      <name val="Calibri"/>
      <family val="2"/>
      <charset val="204"/>
    </font>
    <font>
      <b/>
      <sz val="10"/>
      <name val="Arial"/>
      <family val="2"/>
    </font>
    <font>
      <b/>
      <sz val="11"/>
      <name val="Sylfaen"/>
      <family val="1"/>
      <charset val="204"/>
    </font>
    <font>
      <sz val="11"/>
      <name val="Symbol"/>
      <family val="1"/>
      <charset val="2"/>
    </font>
    <font>
      <sz val="8"/>
      <name val="Arial"/>
      <family val="2"/>
    </font>
    <font>
      <sz val="11"/>
      <name val="Calibri"/>
      <family val="2"/>
      <charset val="204"/>
    </font>
    <font>
      <sz val="11"/>
      <name val="Arial"/>
      <family val="2"/>
      <charset val="204"/>
    </font>
    <font>
      <b/>
      <sz val="11"/>
      <color rgb="FF000000"/>
      <name val="Sylfaen"/>
      <family val="1"/>
      <charset val="204"/>
    </font>
    <font>
      <sz val="11"/>
      <name val="Sylfaen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1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4" fillId="0" borderId="0"/>
    <xf numFmtId="0" fontId="7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38" fillId="0" borderId="0"/>
  </cellStyleXfs>
  <cellXfs count="169">
    <xf numFmtId="0" fontId="0" fillId="0" borderId="0" xfId="0"/>
    <xf numFmtId="0" fontId="7" fillId="0" borderId="10" xfId="0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9" fillId="0" borderId="0" xfId="0" applyFont="1" applyFill="1"/>
    <xf numFmtId="2" fontId="9" fillId="0" borderId="9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9" fillId="0" borderId="0" xfId="0" applyFont="1"/>
    <xf numFmtId="4" fontId="9" fillId="0" borderId="0" xfId="0" applyNumberFormat="1" applyFont="1"/>
    <xf numFmtId="0" fontId="17" fillId="3" borderId="9" xfId="0" applyFont="1" applyFill="1" applyBorder="1" applyAlignment="1">
      <alignment vertical="center" wrapText="1"/>
    </xf>
    <xf numFmtId="0" fontId="20" fillId="0" borderId="0" xfId="18" applyFont="1" applyAlignment="1">
      <alignment vertical="top" wrapText="1"/>
    </xf>
    <xf numFmtId="0" fontId="20" fillId="0" borderId="0" xfId="18" applyFont="1" applyAlignment="1">
      <alignment wrapText="1"/>
    </xf>
    <xf numFmtId="0" fontId="17" fillId="3" borderId="9" xfId="0" applyFont="1" applyFill="1" applyBorder="1" applyAlignment="1">
      <alignment horizontal="right" vertical="center" wrapText="1"/>
    </xf>
    <xf numFmtId="0" fontId="23" fillId="0" borderId="0" xfId="6" applyFont="1" applyAlignment="1">
      <alignment horizontal="left"/>
    </xf>
    <xf numFmtId="0" fontId="17" fillId="3" borderId="11" xfId="0" applyFont="1" applyFill="1" applyBorder="1" applyAlignment="1">
      <alignment horizontal="left" vertical="center" wrapText="1"/>
    </xf>
    <xf numFmtId="0" fontId="9" fillId="0" borderId="0" xfId="0" applyFont="1" applyBorder="1"/>
    <xf numFmtId="49" fontId="17" fillId="3" borderId="9" xfId="0" applyNumberFormat="1" applyFont="1" applyFill="1" applyBorder="1" applyAlignment="1">
      <alignment horizontal="right" vertical="center" wrapText="1"/>
    </xf>
    <xf numFmtId="0" fontId="17" fillId="0" borderId="9" xfId="0" applyFont="1" applyFill="1" applyBorder="1" applyAlignment="1">
      <alignment horizontal="right" vertical="center" wrapText="1"/>
    </xf>
    <xf numFmtId="4" fontId="18" fillId="0" borderId="9" xfId="0" applyNumberFormat="1" applyFont="1" applyFill="1" applyBorder="1" applyAlignment="1">
      <alignment vertical="center" wrapText="1"/>
    </xf>
    <xf numFmtId="4" fontId="17" fillId="0" borderId="9" xfId="0" applyNumberFormat="1" applyFont="1" applyFill="1" applyBorder="1" applyAlignment="1">
      <alignment horizontal="right" vertical="center" wrapText="1"/>
    </xf>
    <xf numFmtId="0" fontId="28" fillId="0" borderId="0" xfId="18" applyNumberFormat="1" applyFont="1" applyBorder="1" applyAlignment="1">
      <alignment horizontal="right" vertical="center" wrapText="1"/>
    </xf>
    <xf numFmtId="49" fontId="28" fillId="0" borderId="0" xfId="18" applyNumberFormat="1" applyFont="1" applyBorder="1" applyAlignment="1">
      <alignment horizontal="left" vertical="center" wrapText="1"/>
    </xf>
    <xf numFmtId="0" fontId="28" fillId="0" borderId="0" xfId="18" applyNumberFormat="1" applyFont="1" applyBorder="1" applyAlignment="1">
      <alignment horizontal="center" vertical="top" wrapText="1"/>
    </xf>
    <xf numFmtId="0" fontId="17" fillId="3" borderId="9" xfId="0" applyFont="1" applyFill="1" applyBorder="1" applyAlignment="1">
      <alignment horizontal="center" vertical="center" wrapText="1"/>
    </xf>
    <xf numFmtId="0" fontId="14" fillId="0" borderId="0" xfId="18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23" fillId="0" borderId="0" xfId="6" applyFont="1" applyBorder="1" applyAlignment="1">
      <alignment horizontal="center" vertical="center"/>
    </xf>
    <xf numFmtId="9" fontId="6" fillId="0" borderId="9" xfId="29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4" fontId="30" fillId="0" borderId="9" xfId="0" applyNumberFormat="1" applyFont="1" applyFill="1" applyBorder="1" applyAlignment="1">
      <alignment horizontal="center" vertical="center" wrapText="1"/>
    </xf>
    <xf numFmtId="9" fontId="17" fillId="3" borderId="9" xfId="0" applyNumberFormat="1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vertical="center" wrapText="1"/>
    </xf>
    <xf numFmtId="0" fontId="5" fillId="0" borderId="0" xfId="28" applyFont="1"/>
    <xf numFmtId="0" fontId="23" fillId="0" borderId="0" xfId="28" applyFont="1" applyAlignment="1">
      <alignment horizontal="center"/>
    </xf>
    <xf numFmtId="0" fontId="6" fillId="0" borderId="0" xfId="28" applyFont="1"/>
    <xf numFmtId="0" fontId="23" fillId="0" borderId="0" xfId="28" applyFont="1"/>
    <xf numFmtId="0" fontId="26" fillId="0" borderId="0" xfId="28" applyFont="1"/>
    <xf numFmtId="0" fontId="21" fillId="0" borderId="0" xfId="28" applyFont="1"/>
    <xf numFmtId="0" fontId="23" fillId="0" borderId="0" xfId="30" applyFont="1" applyAlignment="1">
      <alignment horizontal="center"/>
    </xf>
    <xf numFmtId="0" fontId="23" fillId="0" borderId="0" xfId="30" applyFont="1"/>
    <xf numFmtId="165" fontId="23" fillId="0" borderId="0" xfId="30" applyNumberFormat="1" applyFont="1"/>
    <xf numFmtId="0" fontId="28" fillId="0" borderId="0" xfId="18" applyNumberFormat="1" applyFont="1" applyBorder="1" applyAlignment="1">
      <alignment horizontal="right" vertical="center"/>
    </xf>
    <xf numFmtId="0" fontId="9" fillId="0" borderId="0" xfId="0" applyFont="1" applyFill="1" applyBorder="1"/>
    <xf numFmtId="0" fontId="27" fillId="0" borderId="4" xfId="6" applyFont="1" applyBorder="1" applyAlignment="1">
      <alignment horizontal="center" vertical="center"/>
    </xf>
    <xf numFmtId="0" fontId="6" fillId="0" borderId="4" xfId="6" applyFont="1" applyBorder="1" applyAlignment="1">
      <alignment horizontal="center" vertical="center"/>
    </xf>
    <xf numFmtId="0" fontId="32" fillId="0" borderId="0" xfId="28" applyFont="1"/>
    <xf numFmtId="0" fontId="32" fillId="0" borderId="0" xfId="0" applyFont="1" applyAlignment="1"/>
    <xf numFmtId="0" fontId="5" fillId="0" borderId="0" xfId="28" applyFont="1" applyAlignment="1">
      <alignment vertical="center"/>
    </xf>
    <xf numFmtId="0" fontId="32" fillId="0" borderId="0" xfId="28" applyFont="1" applyAlignment="1">
      <alignment vertical="center"/>
    </xf>
    <xf numFmtId="0" fontId="6" fillId="0" borderId="0" xfId="28" applyFont="1" applyAlignment="1">
      <alignment vertical="center"/>
    </xf>
    <xf numFmtId="164" fontId="32" fillId="0" borderId="0" xfId="28" applyNumberFormat="1" applyFont="1" applyAlignment="1">
      <alignment vertical="center"/>
    </xf>
    <xf numFmtId="0" fontId="33" fillId="0" borderId="0" xfId="28" applyFont="1"/>
    <xf numFmtId="0" fontId="33" fillId="0" borderId="0" xfId="28" applyFont="1" applyAlignment="1">
      <alignment vertical="center"/>
    </xf>
    <xf numFmtId="0" fontId="33" fillId="0" borderId="0" xfId="28" applyFont="1" applyAlignment="1">
      <alignment horizontal="left" vertical="center"/>
    </xf>
    <xf numFmtId="0" fontId="16" fillId="0" borderId="0" xfId="18" applyFont="1" applyBorder="1" applyAlignment="1">
      <alignment horizontal="left" vertical="center"/>
    </xf>
    <xf numFmtId="0" fontId="20" fillId="0" borderId="0" xfId="18" applyFont="1" applyBorder="1" applyAlignment="1">
      <alignment horizontal="left" vertical="center"/>
    </xf>
    <xf numFmtId="0" fontId="39" fillId="4" borderId="10" xfId="0" applyFont="1" applyFill="1" applyBorder="1" applyAlignment="1">
      <alignment vertical="center" wrapText="1"/>
    </xf>
    <xf numFmtId="0" fontId="39" fillId="4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31" fillId="0" borderId="0" xfId="18" applyNumberFormat="1" applyFont="1" applyBorder="1" applyAlignment="1">
      <alignment horizontal="left" vertical="center"/>
    </xf>
    <xf numFmtId="4" fontId="8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right" vertical="center" wrapText="1"/>
    </xf>
    <xf numFmtId="0" fontId="29" fillId="0" borderId="9" xfId="0" applyFont="1" applyBorder="1" applyAlignment="1">
      <alignment horizontal="center" vertical="center" wrapText="1"/>
    </xf>
    <xf numFmtId="4" fontId="13" fillId="0" borderId="9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4" fontId="17" fillId="3" borderId="9" xfId="0" applyNumberFormat="1" applyFont="1" applyFill="1" applyBorder="1" applyAlignment="1">
      <alignment horizontal="right" vertical="center" wrapText="1"/>
    </xf>
    <xf numFmtId="4" fontId="27" fillId="0" borderId="9" xfId="6" applyNumberFormat="1" applyFont="1" applyBorder="1" applyAlignment="1">
      <alignment horizontal="center" vertical="center"/>
    </xf>
    <xf numFmtId="4" fontId="6" fillId="2" borderId="9" xfId="6" applyNumberFormat="1" applyFont="1" applyFill="1" applyBorder="1" applyAlignment="1">
      <alignment horizontal="center" vertical="center"/>
    </xf>
    <xf numFmtId="4" fontId="6" fillId="0" borderId="9" xfId="6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 wrapText="1"/>
    </xf>
    <xf numFmtId="4" fontId="30" fillId="0" borderId="9" xfId="0" applyNumberFormat="1" applyFont="1" applyBorder="1" applyAlignment="1">
      <alignment horizontal="center" vertical="center" wrapText="1"/>
    </xf>
    <xf numFmtId="0" fontId="6" fillId="0" borderId="11" xfId="6" applyFont="1" applyBorder="1" applyAlignment="1">
      <alignment horizontal="right" vertical="center"/>
    </xf>
    <xf numFmtId="0" fontId="28" fillId="0" borderId="0" xfId="18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4" fontId="36" fillId="0" borderId="0" xfId="0" applyNumberFormat="1" applyFont="1" applyAlignment="1">
      <alignment horizontal="center" vertical="center"/>
    </xf>
    <xf numFmtId="2" fontId="33" fillId="0" borderId="0" xfId="28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2" fontId="30" fillId="0" borderId="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8" fillId="0" borderId="9" xfId="0" applyFont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right" vertical="center" wrapText="1"/>
    </xf>
    <xf numFmtId="0" fontId="29" fillId="0" borderId="10" xfId="0" applyFont="1" applyBorder="1" applyAlignment="1">
      <alignment vertical="center" wrapText="1"/>
    </xf>
    <xf numFmtId="0" fontId="28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8" fillId="0" borderId="11" xfId="0" applyFont="1" applyBorder="1" applyAlignment="1">
      <alignment vertical="center" wrapText="1"/>
    </xf>
    <xf numFmtId="0" fontId="17" fillId="0" borderId="10" xfId="0" applyFont="1" applyFill="1" applyBorder="1" applyAlignment="1">
      <alignment horizontal="right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2" fontId="30" fillId="0" borderId="1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0" fontId="43" fillId="0" borderId="9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8" fillId="0" borderId="2" xfId="0" applyFont="1" applyBorder="1" applyAlignment="1">
      <alignment vertical="center" wrapText="1"/>
    </xf>
    <xf numFmtId="0" fontId="28" fillId="0" borderId="3" xfId="0" applyFont="1" applyBorder="1" applyAlignment="1">
      <alignment horizontal="left" vertical="center" wrapText="1" indent="2"/>
    </xf>
    <xf numFmtId="0" fontId="43" fillId="0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5" fillId="0" borderId="0" xfId="0" applyFont="1"/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3" fillId="0" borderId="0" xfId="28" applyFont="1" applyAlignment="1">
      <alignment horizontal="left" vertical="center" wrapText="1"/>
    </xf>
    <xf numFmtId="0" fontId="37" fillId="0" borderId="0" xfId="18" applyNumberFormat="1" applyFont="1" applyBorder="1" applyAlignment="1">
      <alignment horizontal="left" vertical="center" wrapText="1"/>
    </xf>
    <xf numFmtId="0" fontId="6" fillId="0" borderId="10" xfId="6" applyFont="1" applyBorder="1" applyAlignment="1">
      <alignment horizontal="right" vertical="center"/>
    </xf>
    <xf numFmtId="0" fontId="6" fillId="0" borderId="11" xfId="6" applyFont="1" applyBorder="1" applyAlignment="1">
      <alignment horizontal="right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6" fillId="0" borderId="10" xfId="6" applyFont="1" applyBorder="1" applyAlignment="1">
      <alignment horizontal="right" vertical="center" wrapText="1"/>
    </xf>
    <xf numFmtId="0" fontId="6" fillId="0" borderId="11" xfId="6" applyFont="1" applyBorder="1" applyAlignment="1">
      <alignment horizontal="right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</cellXfs>
  <cellStyles count="33">
    <cellStyle name="Comma 2" xfId="3" xr:uid="{00000000-0005-0000-0000-000000000000}"/>
    <cellStyle name="Comma 3" xfId="5" xr:uid="{00000000-0005-0000-0000-000001000000}"/>
    <cellStyle name="Normal" xfId="0" builtinId="0"/>
    <cellStyle name="Normal 10" xfId="6" xr:uid="{00000000-0005-0000-0000-000003000000}"/>
    <cellStyle name="Normal 10 2 2 3" xfId="7" xr:uid="{00000000-0005-0000-0000-000004000000}"/>
    <cellStyle name="Normal 11" xfId="2" xr:uid="{00000000-0005-0000-0000-000005000000}"/>
    <cellStyle name="Normal 11 2" xfId="21" xr:uid="{00000000-0005-0000-0000-000006000000}"/>
    <cellStyle name="Normal 12" xfId="4" xr:uid="{00000000-0005-0000-0000-000007000000}"/>
    <cellStyle name="Normal 13" xfId="23" xr:uid="{00000000-0005-0000-0000-000008000000}"/>
    <cellStyle name="Normal 14" xfId="31" xr:uid="{00000000-0005-0000-0000-000009000000}"/>
    <cellStyle name="Normal 16 2" xfId="28" xr:uid="{00000000-0005-0000-0000-00000A000000}"/>
    <cellStyle name="Normal 2" xfId="8" xr:uid="{00000000-0005-0000-0000-00000B000000}"/>
    <cellStyle name="Normal 2 10" xfId="27" xr:uid="{00000000-0005-0000-0000-00000C000000}"/>
    <cellStyle name="Normal 2 2" xfId="9" xr:uid="{00000000-0005-0000-0000-00000D000000}"/>
    <cellStyle name="Normal 2 3" xfId="32" xr:uid="{00000000-0005-0000-0000-00000E000000}"/>
    <cellStyle name="Normal 2_gen.menarde.ganfaseba" xfId="10" xr:uid="{00000000-0005-0000-0000-00000F000000}"/>
    <cellStyle name="Normal 21" xfId="11" xr:uid="{00000000-0005-0000-0000-000010000000}"/>
    <cellStyle name="Normal 3" xfId="12" xr:uid="{00000000-0005-0000-0000-000011000000}"/>
    <cellStyle name="Normal 3 3" xfId="30" xr:uid="{00000000-0005-0000-0000-000012000000}"/>
    <cellStyle name="Normal 37 2" xfId="24" xr:uid="{00000000-0005-0000-0000-000013000000}"/>
    <cellStyle name="Normal 4" xfId="13" xr:uid="{00000000-0005-0000-0000-000014000000}"/>
    <cellStyle name="Normal 4 2" xfId="19" xr:uid="{00000000-0005-0000-0000-000015000000}"/>
    <cellStyle name="Normal 5" xfId="14" xr:uid="{00000000-0005-0000-0000-000016000000}"/>
    <cellStyle name="Normal 6" xfId="15" xr:uid="{00000000-0005-0000-0000-000017000000}"/>
    <cellStyle name="Normal 7" xfId="1" xr:uid="{00000000-0005-0000-0000-000018000000}"/>
    <cellStyle name="Normal 8" xfId="16" xr:uid="{00000000-0005-0000-0000-000019000000}"/>
    <cellStyle name="Normal 9" xfId="17" xr:uid="{00000000-0005-0000-0000-00001A000000}"/>
    <cellStyle name="Normal_stadion-1" xfId="18" xr:uid="{00000000-0005-0000-0000-00001B000000}"/>
    <cellStyle name="Percent 2" xfId="29" xr:uid="{00000000-0005-0000-0000-00001C000000}"/>
    <cellStyle name="Percent 3" xfId="26" xr:uid="{00000000-0005-0000-0000-00001D000000}"/>
    <cellStyle name="Обычный 2 2" xfId="22" xr:uid="{00000000-0005-0000-0000-00001E000000}"/>
    <cellStyle name="Обычный 4 2" xfId="25" xr:uid="{00000000-0005-0000-0000-00001F000000}"/>
    <cellStyle name="Обычный 5 2 2" xfId="20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3:O49"/>
  <sheetViews>
    <sheetView view="pageBreakPreview" topLeftCell="A10" zoomScaleNormal="80" zoomScaleSheetLayoutView="100" workbookViewId="0">
      <selection activeCell="H13" sqref="H13"/>
    </sheetView>
  </sheetViews>
  <sheetFormatPr defaultColWidth="9.140625" defaultRowHeight="15" customHeight="1"/>
  <cols>
    <col min="1" max="5" width="9.140625" style="40"/>
    <col min="6" max="6" width="24.85546875" style="40" customWidth="1"/>
    <col min="7" max="7" width="14.140625" style="40" customWidth="1"/>
    <col min="8" max="8" width="10.7109375" style="40" customWidth="1"/>
    <col min="9" max="9" width="18.7109375" style="40" customWidth="1"/>
    <col min="10" max="10" width="9.7109375" style="40" customWidth="1"/>
    <col min="11" max="11" width="9.140625" style="40"/>
    <col min="12" max="12" width="13" style="40" customWidth="1"/>
    <col min="13" max="16384" width="9.140625" style="40"/>
  </cols>
  <sheetData>
    <row r="3" spans="1:15" ht="60.75" customHeight="1">
      <c r="A3" s="147" t="s">
        <v>43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54"/>
    </row>
    <row r="4" spans="1:15" ht="32.25" customHeight="1">
      <c r="B4" s="15"/>
    </row>
    <row r="5" spans="1:15" ht="32.25" customHeight="1">
      <c r="B5" s="15"/>
    </row>
    <row r="6" spans="1:15" ht="32.25" customHeight="1">
      <c r="B6" s="15"/>
    </row>
    <row r="7" spans="1:15" ht="32.25" customHeight="1">
      <c r="B7" s="15"/>
    </row>
    <row r="8" spans="1:15" s="44" customFormat="1" ht="191.25" customHeight="1">
      <c r="A8" s="146" t="s">
        <v>355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</row>
    <row r="9" spans="1:15" ht="39.75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</row>
    <row r="10" spans="1:15" ht="42" customHeight="1"/>
    <row r="11" spans="1:15" s="55" customFormat="1" ht="80.25" customHeight="1">
      <c r="B11" s="148" t="s">
        <v>356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</row>
    <row r="12" spans="1:15" s="55" customFormat="1" ht="32.25" customHeight="1">
      <c r="B12" s="60"/>
      <c r="C12" s="57"/>
      <c r="D12" s="57"/>
      <c r="E12" s="57"/>
      <c r="F12" s="57"/>
      <c r="G12" s="58"/>
      <c r="H12" s="56"/>
      <c r="I12" s="57"/>
      <c r="J12" s="56"/>
      <c r="K12" s="57"/>
    </row>
    <row r="13" spans="1:15" s="55" customFormat="1" ht="32.25" customHeight="1">
      <c r="B13" s="60" t="s">
        <v>44</v>
      </c>
      <c r="C13" s="57"/>
      <c r="D13" s="57"/>
      <c r="E13" s="57"/>
      <c r="F13" s="57"/>
      <c r="G13" s="93">
        <f>რესურსული!M5</f>
        <v>0</v>
      </c>
      <c r="H13" s="60" t="s">
        <v>91</v>
      </c>
      <c r="I13" s="60"/>
      <c r="J13" s="56"/>
      <c r="K13" s="57"/>
    </row>
    <row r="17" spans="1:12" s="43" customFormat="1" ht="16.5">
      <c r="A17" s="41"/>
      <c r="B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s="43" customFormat="1" ht="16.5">
      <c r="A18" s="41"/>
      <c r="B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s="43" customFormat="1" ht="16.5">
      <c r="A19" s="41"/>
      <c r="B19" s="45"/>
      <c r="D19" s="45"/>
      <c r="E19" s="45"/>
      <c r="F19" s="45"/>
      <c r="G19" s="45"/>
      <c r="H19" s="45"/>
      <c r="I19" s="45"/>
      <c r="J19" s="45"/>
      <c r="K19" s="45"/>
      <c r="L19" s="45"/>
    </row>
    <row r="20" spans="1:12" s="43" customFormat="1" ht="16.5">
      <c r="A20" s="41"/>
      <c r="B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s="43" customFormat="1" ht="16.5">
      <c r="A21" s="41"/>
      <c r="B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2" s="43" customFormat="1" ht="16.5">
      <c r="A22" s="41"/>
      <c r="B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s="43" customFormat="1" ht="16.5">
      <c r="A23" s="41"/>
      <c r="B23" s="45"/>
      <c r="D23" s="45"/>
      <c r="E23" s="45"/>
      <c r="F23" s="45"/>
      <c r="G23" s="45"/>
      <c r="H23" s="45"/>
      <c r="I23" s="45"/>
      <c r="J23" s="45"/>
      <c r="K23" s="45"/>
      <c r="L23" s="45"/>
    </row>
    <row r="24" spans="1:12" s="43" customFormat="1" ht="16.5">
      <c r="A24" s="41"/>
      <c r="B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s="43" customFormat="1" ht="16.5">
      <c r="A25" s="41"/>
      <c r="B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12" s="43" customFormat="1" ht="16.5">
      <c r="A26" s="41"/>
      <c r="B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s="47" customFormat="1" ht="16.5">
      <c r="A27" s="46"/>
      <c r="B27" s="43"/>
      <c r="C27" s="46"/>
      <c r="F27" s="43"/>
      <c r="G27" s="43"/>
      <c r="H27" s="48"/>
    </row>
    <row r="28" spans="1:12" s="43" customFormat="1" ht="16.5">
      <c r="A28" s="41"/>
    </row>
    <row r="29" spans="1:12" ht="16.5">
      <c r="C29" s="43"/>
    </row>
    <row r="31" spans="1:12" ht="16.5">
      <c r="C31" s="45"/>
      <c r="D31" s="42"/>
      <c r="E31" s="42"/>
      <c r="F31" s="42"/>
      <c r="G31" s="42"/>
      <c r="H31" s="42"/>
      <c r="I31" s="42"/>
      <c r="J31" s="42"/>
      <c r="K31" s="45"/>
    </row>
    <row r="32" spans="1:12" ht="24.75" customHeight="1">
      <c r="E32" s="53"/>
      <c r="F32" s="59"/>
      <c r="G32" s="59"/>
    </row>
    <row r="49" spans="7:7" ht="30" customHeight="1">
      <c r="G49" s="61" t="s">
        <v>45</v>
      </c>
    </row>
  </sheetData>
  <mergeCells count="4">
    <mergeCell ref="A9:N9"/>
    <mergeCell ref="A8:N8"/>
    <mergeCell ref="A3:N3"/>
    <mergeCell ref="B11:N11"/>
  </mergeCells>
  <pageMargins left="0.7" right="0.7" top="0.75" bottom="0.75" header="0.3" footer="0.3"/>
  <pageSetup paperSize="8" scale="54" fitToHeight="0" orientation="portrait" copies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O397"/>
  <sheetViews>
    <sheetView tabSelected="1" view="pageBreakPreview" topLeftCell="D22" zoomScaleNormal="100" zoomScaleSheetLayoutView="100" workbookViewId="0">
      <selection activeCell="D6" sqref="D6:E7"/>
    </sheetView>
  </sheetViews>
  <sheetFormatPr defaultColWidth="9.140625" defaultRowHeight="15"/>
  <cols>
    <col min="1" max="1" width="3.28515625" style="17" customWidth="1"/>
    <col min="2" max="2" width="6" style="9" customWidth="1"/>
    <col min="3" max="3" width="14.42578125" style="9" customWidth="1"/>
    <col min="4" max="4" width="48" style="9" customWidth="1"/>
    <col min="5" max="5" width="22" style="9" customWidth="1"/>
    <col min="6" max="6" width="9.140625" style="9"/>
    <col min="7" max="7" width="11.42578125" style="9" customWidth="1"/>
    <col min="8" max="8" width="9.5703125" style="9" customWidth="1"/>
    <col min="9" max="9" width="9.140625" style="9"/>
    <col min="10" max="10" width="10" style="9" bestFit="1" customWidth="1"/>
    <col min="11" max="11" width="10.85546875" style="9" bestFit="1" customWidth="1"/>
    <col min="12" max="12" width="11.7109375" style="9" bestFit="1" customWidth="1"/>
    <col min="13" max="13" width="12" style="9" customWidth="1"/>
    <col min="14" max="14" width="10" style="9" bestFit="1" customWidth="1"/>
    <col min="15" max="15" width="14.7109375" style="9" customWidth="1"/>
    <col min="16" max="16384" width="9.140625" style="9"/>
  </cols>
  <sheetData>
    <row r="2" spans="1:15" s="12" customFormat="1" ht="27" customHeight="1">
      <c r="A2" s="22"/>
      <c r="B2" s="22"/>
      <c r="C2" s="49"/>
      <c r="D2" s="69" t="s">
        <v>360</v>
      </c>
      <c r="E2" s="22"/>
      <c r="F2" s="22"/>
      <c r="G2" s="23"/>
      <c r="H2" s="23"/>
      <c r="I2" s="24"/>
      <c r="J2" s="24"/>
      <c r="K2" s="24"/>
      <c r="L2" s="24"/>
      <c r="M2" s="89"/>
    </row>
    <row r="3" spans="1:15" s="13" customFormat="1" ht="34.5" customHeight="1">
      <c r="A3" s="26"/>
      <c r="B3" s="26"/>
      <c r="C3" s="26"/>
      <c r="D3" s="149" t="s">
        <v>140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s="13" customFormat="1" ht="26.25" customHeight="1">
      <c r="A4" s="26"/>
      <c r="B4" s="26"/>
      <c r="C4" s="26"/>
      <c r="D4" s="149" t="s">
        <v>141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15" ht="27" customHeight="1">
      <c r="B5" s="7"/>
      <c r="C5" s="8"/>
      <c r="D5" s="63" t="s">
        <v>139</v>
      </c>
      <c r="E5" s="94"/>
      <c r="F5" s="94"/>
      <c r="G5" s="94"/>
      <c r="H5" s="94"/>
      <c r="I5" s="94"/>
      <c r="J5" s="95"/>
      <c r="K5" s="95"/>
      <c r="L5" s="94"/>
      <c r="M5" s="92">
        <f>O321/1000</f>
        <v>0</v>
      </c>
      <c r="N5" s="62" t="s">
        <v>17</v>
      </c>
      <c r="O5" s="94"/>
    </row>
    <row r="6" spans="1:15" ht="37.5" customHeight="1">
      <c r="B6" s="165" t="s">
        <v>10</v>
      </c>
      <c r="C6" s="165" t="s">
        <v>24</v>
      </c>
      <c r="D6" s="157" t="s">
        <v>22</v>
      </c>
      <c r="E6" s="158"/>
      <c r="F6" s="165" t="s">
        <v>26</v>
      </c>
      <c r="G6" s="155" t="s">
        <v>81</v>
      </c>
      <c r="H6" s="156"/>
      <c r="I6" s="155" t="s">
        <v>18</v>
      </c>
      <c r="J6" s="156"/>
      <c r="K6" s="155" t="s">
        <v>23</v>
      </c>
      <c r="L6" s="156"/>
      <c r="M6" s="155" t="s">
        <v>25</v>
      </c>
      <c r="N6" s="156"/>
      <c r="O6" s="154" t="s">
        <v>11</v>
      </c>
    </row>
    <row r="7" spans="1:15" ht="37.5" customHeight="1">
      <c r="B7" s="166"/>
      <c r="C7" s="166"/>
      <c r="D7" s="159"/>
      <c r="E7" s="160"/>
      <c r="F7" s="166"/>
      <c r="G7" s="39" t="s">
        <v>38</v>
      </c>
      <c r="H7" s="144" t="s">
        <v>122</v>
      </c>
      <c r="I7" s="38" t="s">
        <v>12</v>
      </c>
      <c r="J7" s="38" t="s">
        <v>13</v>
      </c>
      <c r="K7" s="38" t="s">
        <v>12</v>
      </c>
      <c r="L7" s="38" t="s">
        <v>13</v>
      </c>
      <c r="M7" s="38" t="s">
        <v>12</v>
      </c>
      <c r="N7" s="38" t="s">
        <v>13</v>
      </c>
      <c r="O7" s="154"/>
    </row>
    <row r="8" spans="1:15">
      <c r="B8" s="135">
        <v>1</v>
      </c>
      <c r="C8" s="135">
        <v>2</v>
      </c>
      <c r="D8" s="136">
        <v>3</v>
      </c>
      <c r="E8" s="137"/>
      <c r="F8" s="135">
        <v>4</v>
      </c>
      <c r="G8" s="135">
        <v>5</v>
      </c>
      <c r="H8" s="135"/>
      <c r="I8" s="135">
        <v>8</v>
      </c>
      <c r="J8" s="135">
        <v>9</v>
      </c>
      <c r="K8" s="135">
        <v>6</v>
      </c>
      <c r="L8" s="135">
        <v>7</v>
      </c>
      <c r="M8" s="135">
        <v>10</v>
      </c>
      <c r="N8" s="135">
        <v>11</v>
      </c>
      <c r="O8" s="135">
        <v>12</v>
      </c>
    </row>
    <row r="9" spans="1:15" ht="19.5" customHeight="1">
      <c r="B9" s="25">
        <v>1</v>
      </c>
      <c r="C9" s="14"/>
      <c r="D9" s="34" t="s">
        <v>35</v>
      </c>
      <c r="E9" s="16"/>
      <c r="F9" s="25"/>
      <c r="G9" s="82"/>
      <c r="H9" s="82"/>
      <c r="I9" s="35"/>
      <c r="J9" s="35"/>
      <c r="K9" s="82"/>
      <c r="L9" s="82"/>
      <c r="M9" s="35"/>
      <c r="N9" s="35"/>
      <c r="O9" s="35"/>
    </row>
    <row r="10" spans="1:15" ht="19.5" customHeight="1">
      <c r="B10" s="25">
        <v>2</v>
      </c>
      <c r="C10" s="14" t="s">
        <v>20</v>
      </c>
      <c r="D10" s="152" t="s">
        <v>41</v>
      </c>
      <c r="E10" s="153"/>
      <c r="F10" s="31" t="s">
        <v>0</v>
      </c>
      <c r="G10" s="35"/>
      <c r="H10" s="6">
        <v>9</v>
      </c>
      <c r="I10" s="35"/>
      <c r="J10" s="35"/>
      <c r="K10" s="2"/>
      <c r="L10" s="2"/>
      <c r="M10" s="35"/>
      <c r="N10" s="35"/>
      <c r="O10" s="2"/>
    </row>
    <row r="11" spans="1:15" ht="19.5" customHeight="1">
      <c r="B11" s="25">
        <v>3</v>
      </c>
      <c r="C11" s="14"/>
      <c r="D11" s="27" t="s">
        <v>30</v>
      </c>
      <c r="E11" s="28"/>
      <c r="F11" s="3" t="s">
        <v>1</v>
      </c>
      <c r="G11" s="35">
        <f>2.06</f>
        <v>2.06</v>
      </c>
      <c r="H11" s="2">
        <v>18.54</v>
      </c>
      <c r="I11" s="35"/>
      <c r="J11" s="70"/>
      <c r="K11" s="35"/>
      <c r="L11" s="2"/>
      <c r="M11" s="35"/>
      <c r="N11" s="35"/>
      <c r="O11" s="70">
        <f>J11+L11+N11</f>
        <v>0</v>
      </c>
    </row>
    <row r="12" spans="1:15" ht="19.5" customHeight="1">
      <c r="B12" s="25">
        <v>4</v>
      </c>
      <c r="C12" s="18" t="s">
        <v>27</v>
      </c>
      <c r="D12" s="152" t="s">
        <v>46</v>
      </c>
      <c r="E12" s="153"/>
      <c r="F12" s="31" t="s">
        <v>0</v>
      </c>
      <c r="G12" s="2"/>
      <c r="H12" s="6">
        <v>55</v>
      </c>
      <c r="I12" s="2"/>
      <c r="J12" s="2"/>
      <c r="K12" s="2"/>
      <c r="L12" s="2"/>
      <c r="M12" s="35"/>
      <c r="N12" s="35"/>
      <c r="O12" s="2"/>
    </row>
    <row r="13" spans="1:15" ht="19.5" customHeight="1">
      <c r="B13" s="25">
        <v>5</v>
      </c>
      <c r="C13" s="14"/>
      <c r="D13" s="27" t="s">
        <v>30</v>
      </c>
      <c r="E13" s="28"/>
      <c r="F13" s="3" t="s">
        <v>1</v>
      </c>
      <c r="G13" s="2">
        <f>350/100</f>
        <v>3.5</v>
      </c>
      <c r="H13" s="2">
        <v>192.5</v>
      </c>
      <c r="I13" s="2"/>
      <c r="J13" s="70"/>
      <c r="K13" s="2"/>
      <c r="L13" s="2"/>
      <c r="M13" s="35"/>
      <c r="N13" s="35"/>
      <c r="O13" s="70">
        <f>J13+L13+N13</f>
        <v>0</v>
      </c>
    </row>
    <row r="14" spans="1:15" ht="19.5" customHeight="1">
      <c r="B14" s="25">
        <v>6</v>
      </c>
      <c r="C14" s="14" t="s">
        <v>93</v>
      </c>
      <c r="D14" s="27" t="s">
        <v>47</v>
      </c>
      <c r="E14" s="28"/>
      <c r="F14" s="1" t="s">
        <v>9</v>
      </c>
      <c r="G14" s="2">
        <f>200/100</f>
        <v>2</v>
      </c>
      <c r="H14" s="35">
        <v>110</v>
      </c>
      <c r="I14" s="2"/>
      <c r="J14" s="70"/>
      <c r="K14" s="2"/>
      <c r="L14" s="2"/>
      <c r="M14" s="35"/>
      <c r="N14" s="74"/>
      <c r="O14" s="70">
        <f>J14+L14+N14</f>
        <v>0</v>
      </c>
    </row>
    <row r="15" spans="1:15" ht="27.75" customHeight="1">
      <c r="B15" s="25">
        <v>7</v>
      </c>
      <c r="C15" s="14" t="s">
        <v>21</v>
      </c>
      <c r="D15" s="152" t="s">
        <v>96</v>
      </c>
      <c r="E15" s="153"/>
      <c r="F15" s="31" t="s">
        <v>0</v>
      </c>
      <c r="G15" s="35"/>
      <c r="H15" s="6">
        <v>48.5</v>
      </c>
      <c r="I15" s="35"/>
      <c r="J15" s="35"/>
      <c r="K15" s="2"/>
      <c r="L15" s="2"/>
      <c r="M15" s="35"/>
      <c r="N15" s="35"/>
      <c r="O15" s="2"/>
    </row>
    <row r="16" spans="1:15" ht="19.5" customHeight="1">
      <c r="B16" s="25">
        <v>8</v>
      </c>
      <c r="C16" s="14"/>
      <c r="D16" s="27" t="s">
        <v>30</v>
      </c>
      <c r="E16" s="28"/>
      <c r="F16" s="3" t="s">
        <v>1</v>
      </c>
      <c r="G16" s="35">
        <f>1.21</f>
        <v>1.21</v>
      </c>
      <c r="H16" s="2">
        <v>58.684999999999995</v>
      </c>
      <c r="I16" s="35"/>
      <c r="J16" s="70"/>
      <c r="K16" s="35"/>
      <c r="L16" s="2"/>
      <c r="M16" s="35"/>
      <c r="N16" s="35"/>
      <c r="O16" s="70">
        <f>J16+L16+N16</f>
        <v>0</v>
      </c>
    </row>
    <row r="17" spans="1:15" ht="19.5" customHeight="1">
      <c r="B17" s="25">
        <v>9</v>
      </c>
      <c r="C17" s="14" t="s">
        <v>33</v>
      </c>
      <c r="D17" s="152" t="s">
        <v>50</v>
      </c>
      <c r="E17" s="153"/>
      <c r="F17" s="31" t="s">
        <v>0</v>
      </c>
      <c r="G17" s="2"/>
      <c r="H17" s="6">
        <v>48.5</v>
      </c>
      <c r="I17" s="2"/>
      <c r="J17" s="2"/>
      <c r="K17" s="2"/>
      <c r="L17" s="2"/>
      <c r="M17" s="35"/>
      <c r="N17" s="35"/>
      <c r="O17" s="2"/>
    </row>
    <row r="18" spans="1:15" ht="19.5" customHeight="1">
      <c r="B18" s="25">
        <v>10</v>
      </c>
      <c r="C18" s="14"/>
      <c r="D18" s="27" t="s">
        <v>30</v>
      </c>
      <c r="E18" s="28"/>
      <c r="F18" s="3" t="s">
        <v>1</v>
      </c>
      <c r="G18" s="2">
        <f>13.4/100</f>
        <v>0.13400000000000001</v>
      </c>
      <c r="H18" s="2">
        <v>6.4990000000000006</v>
      </c>
      <c r="I18" s="35"/>
      <c r="J18" s="70"/>
      <c r="K18" s="2"/>
      <c r="L18" s="2"/>
      <c r="M18" s="35"/>
      <c r="N18" s="35"/>
      <c r="O18" s="70">
        <f t="shared" ref="O18:O24" si="0">J18+L18+N18</f>
        <v>0</v>
      </c>
    </row>
    <row r="19" spans="1:15" ht="19.5" customHeight="1">
      <c r="B19" s="25">
        <v>11</v>
      </c>
      <c r="C19" s="19" t="s">
        <v>94</v>
      </c>
      <c r="D19" s="27" t="s">
        <v>34</v>
      </c>
      <c r="E19" s="28"/>
      <c r="F19" s="1" t="s">
        <v>9</v>
      </c>
      <c r="G19" s="2">
        <f>13/100</f>
        <v>0.13</v>
      </c>
      <c r="H19" s="2">
        <v>6.3050000000000006</v>
      </c>
      <c r="I19" s="2"/>
      <c r="J19" s="70"/>
      <c r="K19" s="2"/>
      <c r="L19" s="2"/>
      <c r="M19" s="35"/>
      <c r="N19" s="74"/>
      <c r="O19" s="70">
        <f t="shared" si="0"/>
        <v>0</v>
      </c>
    </row>
    <row r="20" spans="1:15" ht="19.5" customHeight="1">
      <c r="B20" s="25">
        <v>12</v>
      </c>
      <c r="C20" s="19" t="s">
        <v>85</v>
      </c>
      <c r="D20" s="152" t="s">
        <v>84</v>
      </c>
      <c r="E20" s="153"/>
      <c r="F20" s="31" t="s">
        <v>2</v>
      </c>
      <c r="G20" s="2"/>
      <c r="H20" s="6">
        <v>30.224999999999998</v>
      </c>
      <c r="I20" s="2"/>
      <c r="J20" s="70"/>
      <c r="K20" s="2"/>
      <c r="L20" s="2"/>
      <c r="M20" s="35"/>
      <c r="N20" s="35"/>
      <c r="O20" s="70">
        <f t="shared" si="0"/>
        <v>0</v>
      </c>
    </row>
    <row r="21" spans="1:15" s="4" customFormat="1" ht="19.5" customHeight="1">
      <c r="A21" s="50"/>
      <c r="B21" s="25">
        <v>13</v>
      </c>
      <c r="C21" s="19" t="s">
        <v>95</v>
      </c>
      <c r="D21" s="152" t="s">
        <v>49</v>
      </c>
      <c r="E21" s="153"/>
      <c r="F21" s="31" t="s">
        <v>2</v>
      </c>
      <c r="G21" s="35"/>
      <c r="H21" s="6">
        <v>30.224999999999998</v>
      </c>
      <c r="I21" s="20"/>
      <c r="J21" s="35"/>
      <c r="K21" s="2"/>
      <c r="L21" s="2"/>
      <c r="M21" s="2"/>
      <c r="N21" s="74"/>
      <c r="O21" s="70">
        <f t="shared" si="0"/>
        <v>0</v>
      </c>
    </row>
    <row r="22" spans="1:15" s="4" customFormat="1" ht="19.5" customHeight="1">
      <c r="A22" s="50"/>
      <c r="B22" s="25">
        <v>14</v>
      </c>
      <c r="C22" s="19" t="s">
        <v>85</v>
      </c>
      <c r="D22" s="152" t="s">
        <v>86</v>
      </c>
      <c r="E22" s="153"/>
      <c r="F22" s="31" t="s">
        <v>2</v>
      </c>
      <c r="G22" s="35"/>
      <c r="H22" s="6">
        <v>24.8</v>
      </c>
      <c r="I22" s="2"/>
      <c r="J22" s="70"/>
      <c r="K22" s="2"/>
      <c r="L22" s="2"/>
      <c r="M22" s="2"/>
      <c r="N22" s="35"/>
      <c r="O22" s="70">
        <f t="shared" si="0"/>
        <v>0</v>
      </c>
    </row>
    <row r="23" spans="1:15" s="4" customFormat="1" ht="19.5" customHeight="1">
      <c r="A23" s="50"/>
      <c r="B23" s="25">
        <v>15</v>
      </c>
      <c r="C23" s="19" t="s">
        <v>95</v>
      </c>
      <c r="D23" s="152" t="s">
        <v>48</v>
      </c>
      <c r="E23" s="153"/>
      <c r="F23" s="31" t="s">
        <v>2</v>
      </c>
      <c r="G23" s="35"/>
      <c r="H23" s="6">
        <v>24.8</v>
      </c>
      <c r="I23" s="20"/>
      <c r="J23" s="21"/>
      <c r="K23" s="2"/>
      <c r="L23" s="2"/>
      <c r="M23" s="2"/>
      <c r="N23" s="74"/>
      <c r="O23" s="70">
        <f t="shared" si="0"/>
        <v>0</v>
      </c>
    </row>
    <row r="24" spans="1:15" ht="19.5" customHeight="1">
      <c r="B24" s="25">
        <v>16</v>
      </c>
      <c r="C24" s="19" t="s">
        <v>92</v>
      </c>
      <c r="D24" s="152" t="s">
        <v>3</v>
      </c>
      <c r="E24" s="153"/>
      <c r="F24" s="31" t="s">
        <v>0</v>
      </c>
      <c r="G24" s="35"/>
      <c r="H24" s="73">
        <v>15.5</v>
      </c>
      <c r="I24" s="35"/>
      <c r="J24" s="35"/>
      <c r="K24" s="2"/>
      <c r="L24" s="74"/>
      <c r="M24" s="35"/>
      <c r="N24" s="35"/>
      <c r="O24" s="70">
        <f t="shared" si="0"/>
        <v>0</v>
      </c>
    </row>
    <row r="25" spans="1:15" ht="25.5" customHeight="1">
      <c r="B25" s="25">
        <v>17</v>
      </c>
      <c r="C25" s="101" t="s">
        <v>287</v>
      </c>
      <c r="D25" s="152" t="s">
        <v>288</v>
      </c>
      <c r="E25" s="153"/>
      <c r="F25" s="31" t="s">
        <v>0</v>
      </c>
      <c r="G25" s="35"/>
      <c r="H25" s="6">
        <v>4</v>
      </c>
      <c r="I25" s="35"/>
      <c r="J25" s="35"/>
      <c r="K25" s="2"/>
      <c r="L25" s="74"/>
      <c r="M25" s="35"/>
      <c r="N25" s="35"/>
      <c r="O25" s="70"/>
    </row>
    <row r="26" spans="1:15" ht="19.5" customHeight="1">
      <c r="B26" s="25">
        <v>18</v>
      </c>
      <c r="C26" s="14"/>
      <c r="D26" s="27" t="s">
        <v>30</v>
      </c>
      <c r="E26" s="28"/>
      <c r="F26" s="3" t="s">
        <v>1</v>
      </c>
      <c r="G26" s="2">
        <v>14.6</v>
      </c>
      <c r="H26" s="2">
        <v>58.4</v>
      </c>
      <c r="I26" s="35"/>
      <c r="J26" s="70"/>
      <c r="K26" s="2"/>
      <c r="L26" s="2"/>
      <c r="M26" s="35"/>
      <c r="N26" s="35"/>
      <c r="O26" s="70">
        <f>J26+L26+N26</f>
        <v>0</v>
      </c>
    </row>
    <row r="27" spans="1:15">
      <c r="A27" s="9"/>
      <c r="B27" s="25">
        <v>19</v>
      </c>
      <c r="C27" s="19"/>
      <c r="D27" s="75" t="s">
        <v>279</v>
      </c>
      <c r="E27" s="76"/>
      <c r="F27" s="78" t="s">
        <v>4</v>
      </c>
      <c r="G27" s="70">
        <v>0.93</v>
      </c>
      <c r="H27" s="70">
        <v>3.72</v>
      </c>
      <c r="I27" s="74"/>
      <c r="J27" s="74"/>
      <c r="K27" s="70"/>
      <c r="L27" s="70"/>
      <c r="M27" s="74"/>
      <c r="N27" s="74"/>
      <c r="O27" s="70">
        <f>J27+L27+N27</f>
        <v>0</v>
      </c>
    </row>
    <row r="28" spans="1:15">
      <c r="A28" s="9"/>
      <c r="B28" s="25">
        <v>20</v>
      </c>
      <c r="C28" s="19" t="s">
        <v>301</v>
      </c>
      <c r="D28" s="75" t="s">
        <v>297</v>
      </c>
      <c r="E28" s="76"/>
      <c r="F28" s="78" t="s">
        <v>80</v>
      </c>
      <c r="G28" s="70">
        <v>2.88</v>
      </c>
      <c r="H28" s="70">
        <v>11.52</v>
      </c>
      <c r="I28" s="74"/>
      <c r="J28" s="74"/>
      <c r="K28" s="2"/>
      <c r="L28" s="74"/>
      <c r="M28" s="35"/>
      <c r="N28" s="35"/>
      <c r="O28" s="70">
        <f>J28+L28+N28</f>
        <v>0</v>
      </c>
    </row>
    <row r="29" spans="1:15">
      <c r="A29" s="9"/>
      <c r="B29" s="25">
        <v>21</v>
      </c>
      <c r="C29" s="19" t="s">
        <v>298</v>
      </c>
      <c r="D29" s="75" t="s">
        <v>296</v>
      </c>
      <c r="E29" s="76"/>
      <c r="F29" s="78" t="s">
        <v>0</v>
      </c>
      <c r="G29" s="70">
        <v>5.3E-3</v>
      </c>
      <c r="H29" s="70">
        <v>2.12E-2</v>
      </c>
      <c r="I29" s="74"/>
      <c r="J29" s="74"/>
      <c r="K29" s="2"/>
      <c r="L29" s="74"/>
      <c r="M29" s="35"/>
      <c r="N29" s="35"/>
      <c r="O29" s="70">
        <f t="shared" ref="O29:O35" si="1">J29+L29+N29</f>
        <v>0</v>
      </c>
    </row>
    <row r="30" spans="1:15">
      <c r="A30" s="9"/>
      <c r="B30" s="25">
        <v>22</v>
      </c>
      <c r="C30" s="19" t="s">
        <v>299</v>
      </c>
      <c r="D30" s="75" t="s">
        <v>294</v>
      </c>
      <c r="E30" s="76"/>
      <c r="F30" s="78" t="s">
        <v>0</v>
      </c>
      <c r="G30" s="70">
        <v>9.1999999999999998E-3</v>
      </c>
      <c r="H30" s="70">
        <v>3.6799999999999999E-2</v>
      </c>
      <c r="I30" s="74"/>
      <c r="J30" s="74"/>
      <c r="K30" s="2"/>
      <c r="L30" s="74"/>
      <c r="M30" s="35"/>
      <c r="N30" s="35"/>
      <c r="O30" s="70">
        <f t="shared" si="1"/>
        <v>0</v>
      </c>
    </row>
    <row r="31" spans="1:15">
      <c r="A31" s="9"/>
      <c r="B31" s="25">
        <v>23</v>
      </c>
      <c r="C31" s="19" t="s">
        <v>300</v>
      </c>
      <c r="D31" s="75" t="s">
        <v>295</v>
      </c>
      <c r="E31" s="76"/>
      <c r="F31" s="78" t="s">
        <v>0</v>
      </c>
      <c r="G31" s="70">
        <v>6.4000000000000001E-2</v>
      </c>
      <c r="H31" s="70">
        <v>0.25600000000000001</v>
      </c>
      <c r="I31" s="74"/>
      <c r="J31" s="74"/>
      <c r="K31" s="2"/>
      <c r="L31" s="74"/>
      <c r="M31" s="35"/>
      <c r="N31" s="35"/>
      <c r="O31" s="70">
        <f t="shared" si="1"/>
        <v>0</v>
      </c>
    </row>
    <row r="32" spans="1:15">
      <c r="A32" s="9"/>
      <c r="B32" s="25">
        <v>24</v>
      </c>
      <c r="C32" s="19"/>
      <c r="D32" s="27" t="s">
        <v>31</v>
      </c>
      <c r="E32" s="28"/>
      <c r="F32" s="3" t="s">
        <v>4</v>
      </c>
      <c r="G32" s="2">
        <v>2.96</v>
      </c>
      <c r="H32" s="2">
        <v>11.84</v>
      </c>
      <c r="I32" s="5"/>
      <c r="J32" s="5"/>
      <c r="K32" s="5"/>
      <c r="L32" s="5"/>
      <c r="M32" s="5"/>
      <c r="N32" s="5"/>
      <c r="O32" s="70">
        <f t="shared" si="1"/>
        <v>0</v>
      </c>
    </row>
    <row r="33" spans="1:15" ht="19.5" customHeight="1">
      <c r="B33" s="25">
        <v>25</v>
      </c>
      <c r="C33" s="14" t="s">
        <v>291</v>
      </c>
      <c r="D33" s="111" t="s">
        <v>289</v>
      </c>
      <c r="E33" s="112"/>
      <c r="F33" s="31" t="s">
        <v>2</v>
      </c>
      <c r="G33" s="35"/>
      <c r="H33" s="6">
        <v>0.192</v>
      </c>
      <c r="I33" s="35"/>
      <c r="J33" s="70"/>
      <c r="K33" s="2"/>
      <c r="L33" s="74"/>
      <c r="M33" s="35"/>
      <c r="N33" s="35"/>
      <c r="O33" s="70">
        <f t="shared" si="1"/>
        <v>0</v>
      </c>
    </row>
    <row r="34" spans="1:15" ht="19.5" customHeight="1">
      <c r="B34" s="25">
        <v>26</v>
      </c>
      <c r="C34" s="14" t="s">
        <v>292</v>
      </c>
      <c r="D34" s="111" t="s">
        <v>290</v>
      </c>
      <c r="E34" s="112"/>
      <c r="F34" s="31" t="s">
        <v>2</v>
      </c>
      <c r="G34" s="35"/>
      <c r="H34" s="6">
        <v>0.28799999999999998</v>
      </c>
      <c r="I34" s="35"/>
      <c r="J34" s="70"/>
      <c r="K34" s="2"/>
      <c r="L34" s="74"/>
      <c r="M34" s="35"/>
      <c r="N34" s="35"/>
      <c r="O34" s="70">
        <f t="shared" si="1"/>
        <v>0</v>
      </c>
    </row>
    <row r="35" spans="1:15" ht="19.5" customHeight="1">
      <c r="B35" s="25">
        <v>27</v>
      </c>
      <c r="C35" s="14" t="s">
        <v>293</v>
      </c>
      <c r="D35" s="111" t="s">
        <v>106</v>
      </c>
      <c r="E35" s="112"/>
      <c r="F35" s="31" t="s">
        <v>0</v>
      </c>
      <c r="G35" s="35"/>
      <c r="H35" s="6">
        <v>4</v>
      </c>
      <c r="I35" s="35"/>
      <c r="J35" s="70"/>
      <c r="K35" s="2"/>
      <c r="L35" s="74"/>
      <c r="M35" s="35"/>
      <c r="N35" s="35"/>
      <c r="O35" s="70">
        <f t="shared" si="1"/>
        <v>0</v>
      </c>
    </row>
    <row r="36" spans="1:15" ht="19.5" customHeight="1">
      <c r="B36" s="25">
        <v>28</v>
      </c>
      <c r="C36" s="101" t="s">
        <v>276</v>
      </c>
      <c r="D36" s="152" t="s">
        <v>277</v>
      </c>
      <c r="E36" s="153"/>
      <c r="F36" s="31" t="s">
        <v>2</v>
      </c>
      <c r="G36" s="35"/>
      <c r="H36" s="6">
        <v>0.56699999999999995</v>
      </c>
      <c r="I36" s="35"/>
      <c r="J36" s="35"/>
      <c r="K36" s="2"/>
      <c r="L36" s="74"/>
      <c r="M36" s="35"/>
      <c r="N36" s="35"/>
      <c r="O36" s="70"/>
    </row>
    <row r="37" spans="1:15" ht="19.5" customHeight="1">
      <c r="B37" s="25">
        <v>29</v>
      </c>
      <c r="C37" s="14"/>
      <c r="D37" s="27" t="s">
        <v>30</v>
      </c>
      <c r="E37" s="28"/>
      <c r="F37" s="3" t="s">
        <v>1</v>
      </c>
      <c r="G37" s="2">
        <f>13.5</f>
        <v>13.5</v>
      </c>
      <c r="H37" s="2">
        <v>7.6544999999999996</v>
      </c>
      <c r="I37" s="35"/>
      <c r="J37" s="70"/>
      <c r="K37" s="2"/>
      <c r="L37" s="2"/>
      <c r="M37" s="35"/>
      <c r="N37" s="35"/>
      <c r="O37" s="70">
        <f t="shared" ref="O37:O43" si="2">J37+L37+N37</f>
        <v>0</v>
      </c>
    </row>
    <row r="38" spans="1:15" ht="19.5" customHeight="1">
      <c r="B38" s="25">
        <v>30</v>
      </c>
      <c r="C38" s="14" t="s">
        <v>285</v>
      </c>
      <c r="D38" s="27" t="s">
        <v>286</v>
      </c>
      <c r="E38" s="28"/>
      <c r="F38" s="1" t="s">
        <v>9</v>
      </c>
      <c r="G38" s="2">
        <v>0.89</v>
      </c>
      <c r="H38" s="35">
        <v>13.795</v>
      </c>
      <c r="I38" s="2"/>
      <c r="J38" s="70"/>
      <c r="K38" s="2"/>
      <c r="L38" s="2"/>
      <c r="M38" s="35"/>
      <c r="N38" s="74"/>
      <c r="O38" s="70">
        <f t="shared" si="2"/>
        <v>0</v>
      </c>
    </row>
    <row r="39" spans="1:15" ht="19.5" customHeight="1">
      <c r="B39" s="25">
        <v>31</v>
      </c>
      <c r="C39" s="14" t="s">
        <v>278</v>
      </c>
      <c r="D39" s="27" t="s">
        <v>284</v>
      </c>
      <c r="E39" s="28"/>
      <c r="F39" s="1" t="s">
        <v>9</v>
      </c>
      <c r="G39" s="2">
        <v>0.89</v>
      </c>
      <c r="H39" s="35">
        <v>0.50462999999999991</v>
      </c>
      <c r="I39" s="2"/>
      <c r="J39" s="70"/>
      <c r="K39" s="2"/>
      <c r="L39" s="2"/>
      <c r="M39" s="35"/>
      <c r="N39" s="74"/>
      <c r="O39" s="70">
        <f t="shared" si="2"/>
        <v>0</v>
      </c>
    </row>
    <row r="40" spans="1:15">
      <c r="A40" s="9"/>
      <c r="B40" s="25">
        <v>32</v>
      </c>
      <c r="C40" s="19"/>
      <c r="D40" s="75" t="s">
        <v>279</v>
      </c>
      <c r="E40" s="76"/>
      <c r="F40" s="78" t="s">
        <v>4</v>
      </c>
      <c r="G40" s="70">
        <v>2.2599999999999998</v>
      </c>
      <c r="H40" s="70">
        <v>1.2814199999999998</v>
      </c>
      <c r="I40" s="74"/>
      <c r="J40" s="74"/>
      <c r="K40" s="70"/>
      <c r="L40" s="70"/>
      <c r="M40" s="74"/>
      <c r="N40" s="74"/>
      <c r="O40" s="70">
        <f t="shared" si="2"/>
        <v>0</v>
      </c>
    </row>
    <row r="41" spans="1:15">
      <c r="A41" s="9"/>
      <c r="B41" s="25">
        <v>33</v>
      </c>
      <c r="C41" s="19"/>
      <c r="D41" s="27" t="s">
        <v>31</v>
      </c>
      <c r="E41" s="28"/>
      <c r="F41" s="3" t="s">
        <v>4</v>
      </c>
      <c r="G41" s="2">
        <v>2.78</v>
      </c>
      <c r="H41" s="2">
        <v>1.5762599999999998</v>
      </c>
      <c r="I41" s="5"/>
      <c r="J41" s="5"/>
      <c r="K41" s="5"/>
      <c r="L41" s="5"/>
      <c r="M41" s="5"/>
      <c r="N41" s="5"/>
      <c r="O41" s="70">
        <f t="shared" si="2"/>
        <v>0</v>
      </c>
    </row>
    <row r="42" spans="1:15" ht="19.5" customHeight="1">
      <c r="B42" s="25">
        <v>34</v>
      </c>
      <c r="C42" s="14" t="s">
        <v>280</v>
      </c>
      <c r="D42" s="152" t="s">
        <v>282</v>
      </c>
      <c r="E42" s="153"/>
      <c r="F42" s="31" t="s">
        <v>5</v>
      </c>
      <c r="G42" s="2"/>
      <c r="H42" s="6">
        <v>80</v>
      </c>
      <c r="I42" s="35"/>
      <c r="J42" s="70"/>
      <c r="K42" s="2"/>
      <c r="L42" s="74"/>
      <c r="M42" s="35"/>
      <c r="N42" s="35"/>
      <c r="O42" s="70">
        <f t="shared" si="2"/>
        <v>0</v>
      </c>
    </row>
    <row r="43" spans="1:15" ht="19.5" customHeight="1">
      <c r="B43" s="25">
        <v>35</v>
      </c>
      <c r="C43" s="14" t="s">
        <v>281</v>
      </c>
      <c r="D43" s="152" t="s">
        <v>283</v>
      </c>
      <c r="E43" s="153"/>
      <c r="F43" s="31" t="s">
        <v>80</v>
      </c>
      <c r="G43" s="2"/>
      <c r="H43" s="6">
        <v>8</v>
      </c>
      <c r="I43" s="35"/>
      <c r="J43" s="70"/>
      <c r="K43" s="2"/>
      <c r="L43" s="74"/>
      <c r="M43" s="35"/>
      <c r="N43" s="35"/>
      <c r="O43" s="70">
        <f t="shared" si="2"/>
        <v>0</v>
      </c>
    </row>
    <row r="44" spans="1:15" s="29" customFormat="1" ht="19.5" customHeight="1">
      <c r="A44" s="51"/>
      <c r="B44" s="25">
        <v>36</v>
      </c>
      <c r="C44" s="19"/>
      <c r="D44" s="150" t="s">
        <v>125</v>
      </c>
      <c r="E44" s="151"/>
      <c r="F44" s="31" t="s">
        <v>4</v>
      </c>
      <c r="G44" s="83"/>
      <c r="H44" s="83"/>
      <c r="I44" s="84"/>
      <c r="J44" s="36"/>
      <c r="K44" s="84"/>
      <c r="L44" s="36"/>
      <c r="M44" s="84"/>
      <c r="N44" s="36"/>
      <c r="O44" s="36">
        <f>SUM(O10:O43)</f>
        <v>0</v>
      </c>
    </row>
    <row r="45" spans="1:15" s="29" customFormat="1" ht="19.5" customHeight="1">
      <c r="A45" s="52"/>
      <c r="B45" s="25">
        <v>37</v>
      </c>
      <c r="C45" s="19"/>
      <c r="D45" s="150" t="s">
        <v>32</v>
      </c>
      <c r="E45" s="151"/>
      <c r="F45" s="30">
        <v>0.1</v>
      </c>
      <c r="G45" s="85"/>
      <c r="H45" s="85"/>
      <c r="I45" s="84"/>
      <c r="J45" s="84"/>
      <c r="K45" s="84"/>
      <c r="L45" s="84"/>
      <c r="M45" s="84"/>
      <c r="N45" s="84"/>
      <c r="O45" s="36">
        <f>O44*F45</f>
        <v>0</v>
      </c>
    </row>
    <row r="46" spans="1:15" ht="19.5" customHeight="1">
      <c r="B46" s="25">
        <v>38</v>
      </c>
      <c r="C46" s="19"/>
      <c r="D46" s="33" t="s">
        <v>162</v>
      </c>
      <c r="E46" s="16"/>
      <c r="F46" s="30"/>
      <c r="G46" s="82"/>
      <c r="H46" s="82"/>
      <c r="I46" s="35"/>
      <c r="J46" s="35"/>
      <c r="K46" s="82"/>
      <c r="L46" s="82"/>
      <c r="M46" s="35"/>
      <c r="N46" s="35"/>
      <c r="O46" s="2"/>
    </row>
    <row r="47" spans="1:15">
      <c r="A47" s="9"/>
      <c r="B47" s="25">
        <v>39</v>
      </c>
      <c r="C47" s="19" t="s">
        <v>65</v>
      </c>
      <c r="D47" s="152" t="s">
        <v>117</v>
      </c>
      <c r="E47" s="153"/>
      <c r="F47" s="80" t="s">
        <v>6</v>
      </c>
      <c r="G47" s="74"/>
      <c r="H47" s="98">
        <v>2</v>
      </c>
      <c r="I47" s="74"/>
      <c r="J47" s="74"/>
      <c r="K47" s="70"/>
      <c r="L47" s="70"/>
      <c r="M47" s="74"/>
      <c r="N47" s="74"/>
      <c r="O47" s="70"/>
    </row>
    <row r="48" spans="1:15">
      <c r="A48" s="9"/>
      <c r="B48" s="25">
        <v>40</v>
      </c>
      <c r="C48" s="19" t="s">
        <v>116</v>
      </c>
      <c r="D48" s="105" t="s">
        <v>30</v>
      </c>
      <c r="E48" s="106"/>
      <c r="F48" s="1" t="s">
        <v>1</v>
      </c>
      <c r="G48" s="2">
        <f>40*0.7</f>
        <v>28</v>
      </c>
      <c r="H48" s="70">
        <v>56</v>
      </c>
      <c r="I48" s="86"/>
      <c r="J48" s="74"/>
      <c r="K48" s="70"/>
      <c r="L48" s="70"/>
      <c r="M48" s="74"/>
      <c r="N48" s="74"/>
      <c r="O48" s="70">
        <f t="shared" ref="O48:O49" si="3">J48+L48+N48</f>
        <v>0</v>
      </c>
    </row>
    <row r="49" spans="1:15">
      <c r="A49" s="9"/>
      <c r="B49" s="25">
        <v>41</v>
      </c>
      <c r="C49" s="19" t="s">
        <v>116</v>
      </c>
      <c r="D49" s="105" t="s">
        <v>19</v>
      </c>
      <c r="E49" s="106"/>
      <c r="F49" s="3" t="s">
        <v>4</v>
      </c>
      <c r="G49" s="2">
        <f>11.6*0.7</f>
        <v>8.1199999999999992</v>
      </c>
      <c r="H49" s="70">
        <v>16.239999999999998</v>
      </c>
      <c r="I49" s="74"/>
      <c r="J49" s="74"/>
      <c r="K49" s="70"/>
      <c r="L49" s="70"/>
      <c r="M49" s="74"/>
      <c r="N49" s="74"/>
      <c r="O49" s="70">
        <f t="shared" si="3"/>
        <v>0</v>
      </c>
    </row>
    <row r="50" spans="1:15">
      <c r="A50" s="9"/>
      <c r="B50" s="25">
        <v>42</v>
      </c>
      <c r="C50" s="19" t="s">
        <v>109</v>
      </c>
      <c r="D50" s="161" t="s">
        <v>118</v>
      </c>
      <c r="E50" s="162"/>
      <c r="F50" s="80" t="s">
        <v>6</v>
      </c>
      <c r="G50" s="74"/>
      <c r="H50" s="98">
        <v>7</v>
      </c>
      <c r="I50" s="74"/>
      <c r="J50" s="74"/>
      <c r="K50" s="70"/>
      <c r="L50" s="70"/>
      <c r="M50" s="74"/>
      <c r="N50" s="74"/>
      <c r="O50" s="70"/>
    </row>
    <row r="51" spans="1:15">
      <c r="A51" s="9"/>
      <c r="B51" s="25">
        <v>43</v>
      </c>
      <c r="C51" s="19" t="s">
        <v>116</v>
      </c>
      <c r="D51" s="75" t="s">
        <v>30</v>
      </c>
      <c r="E51" s="76"/>
      <c r="F51" s="77" t="s">
        <v>1</v>
      </c>
      <c r="G51" s="74">
        <f>16*0.7</f>
        <v>11.2</v>
      </c>
      <c r="H51" s="70">
        <v>78.399999999999991</v>
      </c>
      <c r="I51" s="86"/>
      <c r="J51" s="74"/>
      <c r="K51" s="70"/>
      <c r="L51" s="70"/>
      <c r="M51" s="74"/>
      <c r="N51" s="74"/>
      <c r="O51" s="70">
        <f t="shared" ref="O51:O52" si="4">J51+L51+N51</f>
        <v>0</v>
      </c>
    </row>
    <row r="52" spans="1:15">
      <c r="A52" s="9"/>
      <c r="B52" s="25">
        <v>44</v>
      </c>
      <c r="C52" s="19"/>
      <c r="D52" s="75" t="s">
        <v>19</v>
      </c>
      <c r="E52" s="76"/>
      <c r="F52" s="78" t="s">
        <v>4</v>
      </c>
      <c r="G52" s="70">
        <f>1.29*0.7</f>
        <v>0.90299999999999991</v>
      </c>
      <c r="H52" s="70">
        <v>6.3209999999999997</v>
      </c>
      <c r="I52" s="74"/>
      <c r="J52" s="74"/>
      <c r="K52" s="70"/>
      <c r="L52" s="70"/>
      <c r="M52" s="74"/>
      <c r="N52" s="74"/>
      <c r="O52" s="70">
        <f t="shared" si="4"/>
        <v>0</v>
      </c>
    </row>
    <row r="53" spans="1:15">
      <c r="A53" s="9"/>
      <c r="B53" s="25">
        <v>45</v>
      </c>
      <c r="C53" s="19" t="s">
        <v>143</v>
      </c>
      <c r="D53" s="161" t="s">
        <v>142</v>
      </c>
      <c r="E53" s="162"/>
      <c r="F53" s="80" t="s">
        <v>6</v>
      </c>
      <c r="G53" s="74"/>
      <c r="H53" s="98">
        <v>6</v>
      </c>
      <c r="I53" s="74"/>
      <c r="J53" s="74"/>
      <c r="K53" s="70"/>
      <c r="L53" s="70"/>
      <c r="M53" s="74"/>
      <c r="N53" s="74"/>
      <c r="O53" s="70"/>
    </row>
    <row r="54" spans="1:15">
      <c r="A54" s="9"/>
      <c r="B54" s="25">
        <v>46</v>
      </c>
      <c r="C54" s="19" t="s">
        <v>116</v>
      </c>
      <c r="D54" s="75" t="s">
        <v>30</v>
      </c>
      <c r="E54" s="76"/>
      <c r="F54" s="77" t="s">
        <v>1</v>
      </c>
      <c r="G54" s="74">
        <f>12*0.7</f>
        <v>8.3999999999999986</v>
      </c>
      <c r="H54" s="70">
        <v>50.399999999999991</v>
      </c>
      <c r="I54" s="86"/>
      <c r="J54" s="74"/>
      <c r="K54" s="70"/>
      <c r="L54" s="70"/>
      <c r="M54" s="74"/>
      <c r="N54" s="74"/>
      <c r="O54" s="70">
        <f t="shared" ref="O54:O55" si="5">J54+L54+N54</f>
        <v>0</v>
      </c>
    </row>
    <row r="55" spans="1:15">
      <c r="A55" s="9"/>
      <c r="B55" s="25">
        <v>47</v>
      </c>
      <c r="C55" s="19"/>
      <c r="D55" s="75" t="s">
        <v>19</v>
      </c>
      <c r="E55" s="76"/>
      <c r="F55" s="78" t="s">
        <v>4</v>
      </c>
      <c r="G55" s="70">
        <f>4.5*0.7</f>
        <v>3.15</v>
      </c>
      <c r="H55" s="70">
        <v>18.899999999999999</v>
      </c>
      <c r="I55" s="74"/>
      <c r="J55" s="74"/>
      <c r="K55" s="70"/>
      <c r="L55" s="70"/>
      <c r="M55" s="74"/>
      <c r="N55" s="74"/>
      <c r="O55" s="70">
        <f t="shared" si="5"/>
        <v>0</v>
      </c>
    </row>
    <row r="56" spans="1:15">
      <c r="A56" s="9"/>
      <c r="B56" s="25">
        <v>48</v>
      </c>
      <c r="C56" s="19" t="s">
        <v>71</v>
      </c>
      <c r="D56" s="161" t="s">
        <v>144</v>
      </c>
      <c r="E56" s="162"/>
      <c r="F56" s="80" t="s">
        <v>6</v>
      </c>
      <c r="G56" s="74"/>
      <c r="H56" s="98">
        <v>8</v>
      </c>
      <c r="I56" s="74"/>
      <c r="J56" s="74"/>
      <c r="K56" s="70"/>
      <c r="L56" s="70"/>
      <c r="M56" s="74"/>
      <c r="N56" s="74"/>
      <c r="O56" s="70"/>
    </row>
    <row r="57" spans="1:15">
      <c r="A57" s="9"/>
      <c r="B57" s="25">
        <v>49</v>
      </c>
      <c r="C57" s="19" t="s">
        <v>116</v>
      </c>
      <c r="D57" s="75" t="s">
        <v>30</v>
      </c>
      <c r="E57" s="76"/>
      <c r="F57" s="77" t="s">
        <v>1</v>
      </c>
      <c r="G57" s="74">
        <f>1*0.7</f>
        <v>0.7</v>
      </c>
      <c r="H57" s="70">
        <v>5.6</v>
      </c>
      <c r="I57" s="86"/>
      <c r="J57" s="74"/>
      <c r="K57" s="70"/>
      <c r="L57" s="70"/>
      <c r="M57" s="74"/>
      <c r="N57" s="74"/>
      <c r="O57" s="70">
        <f t="shared" ref="O57:O58" si="6">J57+L57+N57</f>
        <v>0</v>
      </c>
    </row>
    <row r="58" spans="1:15">
      <c r="A58" s="9"/>
      <c r="B58" s="25">
        <v>50</v>
      </c>
      <c r="C58" s="19"/>
      <c r="D58" s="75" t="s">
        <v>19</v>
      </c>
      <c r="E58" s="76"/>
      <c r="F58" s="78" t="s">
        <v>4</v>
      </c>
      <c r="G58" s="70">
        <f>0.16*0.7</f>
        <v>0.11199999999999999</v>
      </c>
      <c r="H58" s="70">
        <v>0.89599999999999991</v>
      </c>
      <c r="I58" s="74"/>
      <c r="J58" s="74"/>
      <c r="K58" s="70"/>
      <c r="L58" s="70"/>
      <c r="M58" s="74"/>
      <c r="N58" s="74"/>
      <c r="O58" s="70">
        <f t="shared" si="6"/>
        <v>0</v>
      </c>
    </row>
    <row r="59" spans="1:15" ht="18" customHeight="1">
      <c r="A59" s="9"/>
      <c r="B59" s="25">
        <v>51</v>
      </c>
      <c r="C59" s="19" t="s">
        <v>53</v>
      </c>
      <c r="D59" s="152" t="s">
        <v>52</v>
      </c>
      <c r="E59" s="153"/>
      <c r="F59" s="31" t="s">
        <v>5</v>
      </c>
      <c r="G59" s="6"/>
      <c r="H59" s="6">
        <v>11</v>
      </c>
      <c r="I59" s="5"/>
      <c r="J59" s="5"/>
      <c r="K59" s="2"/>
      <c r="L59" s="2"/>
      <c r="M59" s="5"/>
      <c r="N59" s="5"/>
      <c r="O59" s="2"/>
    </row>
    <row r="60" spans="1:15">
      <c r="A60" s="9"/>
      <c r="B60" s="25">
        <v>52</v>
      </c>
      <c r="C60" s="19"/>
      <c r="D60" s="27" t="s">
        <v>30</v>
      </c>
      <c r="E60" s="28"/>
      <c r="F60" s="1" t="s">
        <v>1</v>
      </c>
      <c r="G60" s="2">
        <f>0.05+0.02</f>
        <v>7.0000000000000007E-2</v>
      </c>
      <c r="H60" s="2">
        <v>0.77</v>
      </c>
      <c r="I60" s="86"/>
      <c r="J60" s="5"/>
      <c r="K60" s="2"/>
      <c r="L60" s="2"/>
      <c r="M60" s="5"/>
      <c r="N60" s="5"/>
      <c r="O60" s="2">
        <f t="shared" ref="O60:O62" si="7">J60+L60+N60</f>
        <v>0</v>
      </c>
    </row>
    <row r="61" spans="1:15">
      <c r="A61" s="9"/>
      <c r="B61" s="25">
        <v>53</v>
      </c>
      <c r="C61" s="19"/>
      <c r="D61" s="27" t="s">
        <v>31</v>
      </c>
      <c r="E61" s="28"/>
      <c r="F61" s="3" t="s">
        <v>4</v>
      </c>
      <c r="G61" s="2">
        <f>0.0005+0.0002</f>
        <v>6.9999999999999999E-4</v>
      </c>
      <c r="H61" s="2">
        <v>7.7000000000000002E-3</v>
      </c>
      <c r="I61" s="5"/>
      <c r="J61" s="5"/>
      <c r="K61" s="5"/>
      <c r="L61" s="5"/>
      <c r="M61" s="5"/>
      <c r="N61" s="5"/>
      <c r="O61" s="2">
        <f t="shared" si="7"/>
        <v>0</v>
      </c>
    </row>
    <row r="62" spans="1:15">
      <c r="A62" s="9"/>
      <c r="B62" s="25">
        <v>54</v>
      </c>
      <c r="C62" s="19"/>
      <c r="D62" s="27" t="s">
        <v>19</v>
      </c>
      <c r="E62" s="28"/>
      <c r="F62" s="3" t="s">
        <v>4</v>
      </c>
      <c r="G62" s="2">
        <f>0.0696+0.0199</f>
        <v>8.9499999999999996E-2</v>
      </c>
      <c r="H62" s="2">
        <v>0.98449999999999993</v>
      </c>
      <c r="I62" s="5"/>
      <c r="J62" s="5"/>
      <c r="K62" s="2"/>
      <c r="L62" s="2"/>
      <c r="M62" s="5"/>
      <c r="N62" s="5"/>
      <c r="O62" s="2">
        <f t="shared" si="7"/>
        <v>0</v>
      </c>
    </row>
    <row r="63" spans="1:15" ht="18" customHeight="1">
      <c r="A63" s="9"/>
      <c r="B63" s="25">
        <v>55</v>
      </c>
      <c r="C63" s="19" t="s">
        <v>53</v>
      </c>
      <c r="D63" s="152" t="s">
        <v>54</v>
      </c>
      <c r="E63" s="153"/>
      <c r="F63" s="31" t="s">
        <v>5</v>
      </c>
      <c r="G63" s="6"/>
      <c r="H63" s="6">
        <v>90</v>
      </c>
      <c r="I63" s="5"/>
      <c r="J63" s="5"/>
      <c r="K63" s="2"/>
      <c r="L63" s="2"/>
      <c r="M63" s="5"/>
      <c r="N63" s="5"/>
      <c r="O63" s="2"/>
    </row>
    <row r="64" spans="1:15">
      <c r="A64" s="9"/>
      <c r="B64" s="25">
        <v>56</v>
      </c>
      <c r="C64" s="19"/>
      <c r="D64" s="27" t="s">
        <v>30</v>
      </c>
      <c r="E64" s="28"/>
      <c r="F64" s="1" t="s">
        <v>1</v>
      </c>
      <c r="G64" s="2">
        <f>0.05+4*0.02</f>
        <v>0.13</v>
      </c>
      <c r="H64" s="2">
        <v>11.700000000000001</v>
      </c>
      <c r="I64" s="86"/>
      <c r="J64" s="5"/>
      <c r="K64" s="2"/>
      <c r="L64" s="2"/>
      <c r="M64" s="5"/>
      <c r="N64" s="5"/>
      <c r="O64" s="2">
        <f t="shared" ref="O64:O66" si="8">J64+L64+N64</f>
        <v>0</v>
      </c>
    </row>
    <row r="65" spans="1:15">
      <c r="A65" s="9"/>
      <c r="B65" s="25">
        <v>57</v>
      </c>
      <c r="C65" s="19"/>
      <c r="D65" s="27" t="s">
        <v>31</v>
      </c>
      <c r="E65" s="28"/>
      <c r="F65" s="3" t="s">
        <v>4</v>
      </c>
      <c r="G65" s="2">
        <f>0.0005+4*0.0002</f>
        <v>1.2999999999999999E-3</v>
      </c>
      <c r="H65" s="2">
        <v>0.11699999999999999</v>
      </c>
      <c r="I65" s="5"/>
      <c r="J65" s="5"/>
      <c r="K65" s="5"/>
      <c r="L65" s="5"/>
      <c r="M65" s="5"/>
      <c r="N65" s="5"/>
      <c r="O65" s="2">
        <f t="shared" si="8"/>
        <v>0</v>
      </c>
    </row>
    <row r="66" spans="1:15">
      <c r="A66" s="9"/>
      <c r="B66" s="25">
        <v>58</v>
      </c>
      <c r="C66" s="19"/>
      <c r="D66" s="27" t="s">
        <v>19</v>
      </c>
      <c r="E66" s="28"/>
      <c r="F66" s="3" t="s">
        <v>4</v>
      </c>
      <c r="G66" s="2">
        <f>0.0696+4*0.0199</f>
        <v>0.1492</v>
      </c>
      <c r="H66" s="2">
        <v>13.428000000000001</v>
      </c>
      <c r="I66" s="5"/>
      <c r="J66" s="5"/>
      <c r="K66" s="2"/>
      <c r="L66" s="2"/>
      <c r="M66" s="5"/>
      <c r="N66" s="5"/>
      <c r="O66" s="2">
        <f t="shared" si="8"/>
        <v>0</v>
      </c>
    </row>
    <row r="67" spans="1:15" ht="19.5" customHeight="1">
      <c r="A67" s="9"/>
      <c r="B67" s="25">
        <v>59</v>
      </c>
      <c r="C67" s="71" t="s">
        <v>87</v>
      </c>
      <c r="D67" s="161" t="s">
        <v>111</v>
      </c>
      <c r="E67" s="162"/>
      <c r="F67" s="72" t="s">
        <v>5</v>
      </c>
      <c r="G67" s="73"/>
      <c r="H67" s="6">
        <v>506</v>
      </c>
      <c r="I67" s="86"/>
      <c r="J67" s="86"/>
      <c r="K67" s="70"/>
      <c r="L67" s="70"/>
      <c r="M67" s="86"/>
      <c r="N67" s="86"/>
      <c r="O67" s="70"/>
    </row>
    <row r="68" spans="1:15" ht="19.5" customHeight="1">
      <c r="A68" s="9"/>
      <c r="B68" s="25">
        <v>60</v>
      </c>
      <c r="C68" s="71"/>
      <c r="D68" s="75" t="s">
        <v>30</v>
      </c>
      <c r="E68" s="76"/>
      <c r="F68" s="77" t="s">
        <v>1</v>
      </c>
      <c r="G68" s="70">
        <f>0.13</f>
        <v>0.13</v>
      </c>
      <c r="H68" s="70">
        <v>65.78</v>
      </c>
      <c r="I68" s="35"/>
      <c r="J68" s="74"/>
      <c r="K68" s="70"/>
      <c r="L68" s="70"/>
      <c r="M68" s="86"/>
      <c r="N68" s="86"/>
      <c r="O68" s="70">
        <f t="shared" ref="O68:O70" si="9">J68+L68+N68</f>
        <v>0</v>
      </c>
    </row>
    <row r="69" spans="1:15" ht="19.5" customHeight="1">
      <c r="A69" s="9"/>
      <c r="B69" s="25">
        <v>61</v>
      </c>
      <c r="C69" s="71"/>
      <c r="D69" s="75" t="s">
        <v>31</v>
      </c>
      <c r="E69" s="76"/>
      <c r="F69" s="78" t="s">
        <v>4</v>
      </c>
      <c r="G69" s="70">
        <f>0.0462</f>
        <v>4.6199999999999998E-2</v>
      </c>
      <c r="H69" s="70">
        <v>23.377199999999998</v>
      </c>
      <c r="I69" s="86"/>
      <c r="J69" s="86"/>
      <c r="K69" s="86"/>
      <c r="L69" s="74"/>
      <c r="M69" s="86"/>
      <c r="N69" s="86"/>
      <c r="O69" s="70">
        <f t="shared" si="9"/>
        <v>0</v>
      </c>
    </row>
    <row r="70" spans="1:15" ht="19.5" customHeight="1">
      <c r="A70" s="9"/>
      <c r="B70" s="25">
        <v>62</v>
      </c>
      <c r="C70" s="71"/>
      <c r="D70" s="75" t="s">
        <v>19</v>
      </c>
      <c r="E70" s="76"/>
      <c r="F70" s="78" t="s">
        <v>4</v>
      </c>
      <c r="G70" s="70">
        <f>0.0329</f>
        <v>3.2899999999999999E-2</v>
      </c>
      <c r="H70" s="70">
        <v>16.647400000000001</v>
      </c>
      <c r="I70" s="86"/>
      <c r="J70" s="86"/>
      <c r="K70" s="70"/>
      <c r="L70" s="86"/>
      <c r="M70" s="86"/>
      <c r="N70" s="74"/>
      <c r="O70" s="70">
        <f t="shared" si="9"/>
        <v>0</v>
      </c>
    </row>
    <row r="71" spans="1:15" ht="27.75" customHeight="1">
      <c r="A71" s="9"/>
      <c r="B71" s="25">
        <v>63</v>
      </c>
      <c r="C71" s="71" t="s">
        <v>88</v>
      </c>
      <c r="D71" s="161" t="s">
        <v>110</v>
      </c>
      <c r="E71" s="162"/>
      <c r="F71" s="72" t="s">
        <v>5</v>
      </c>
      <c r="G71" s="73"/>
      <c r="H71" s="6">
        <v>44</v>
      </c>
      <c r="I71" s="86"/>
      <c r="J71" s="86"/>
      <c r="K71" s="70"/>
      <c r="L71" s="70"/>
      <c r="M71" s="86"/>
      <c r="N71" s="86"/>
      <c r="O71" s="70"/>
    </row>
    <row r="72" spans="1:15" ht="19.5" customHeight="1">
      <c r="A72" s="9"/>
      <c r="B72" s="25">
        <v>64</v>
      </c>
      <c r="C72" s="71"/>
      <c r="D72" s="75" t="s">
        <v>30</v>
      </c>
      <c r="E72" s="76"/>
      <c r="F72" s="77" t="s">
        <v>1</v>
      </c>
      <c r="G72" s="70">
        <v>0.2</v>
      </c>
      <c r="H72" s="70">
        <v>8.8000000000000007</v>
      </c>
      <c r="I72" s="35"/>
      <c r="J72" s="74"/>
      <c r="K72" s="70"/>
      <c r="L72" s="70"/>
      <c r="M72" s="86"/>
      <c r="N72" s="86"/>
      <c r="O72" s="70">
        <f t="shared" ref="O72:O74" si="10">J72+L72+N72</f>
        <v>0</v>
      </c>
    </row>
    <row r="73" spans="1:15" ht="19.5" customHeight="1">
      <c r="A73" s="9"/>
      <c r="B73" s="25">
        <v>65</v>
      </c>
      <c r="C73" s="71"/>
      <c r="D73" s="75" t="s">
        <v>31</v>
      </c>
      <c r="E73" s="76"/>
      <c r="F73" s="78" t="s">
        <v>4</v>
      </c>
      <c r="G73" s="70">
        <v>3.5900000000000001E-2</v>
      </c>
      <c r="H73" s="70">
        <v>1.5796000000000001</v>
      </c>
      <c r="I73" s="86"/>
      <c r="J73" s="86"/>
      <c r="K73" s="86"/>
      <c r="L73" s="74"/>
      <c r="M73" s="86"/>
      <c r="N73" s="86"/>
      <c r="O73" s="70">
        <f t="shared" si="10"/>
        <v>0</v>
      </c>
    </row>
    <row r="74" spans="1:15" ht="19.5" customHeight="1">
      <c r="A74" s="9"/>
      <c r="B74" s="25">
        <v>66</v>
      </c>
      <c r="C74" s="71"/>
      <c r="D74" s="75" t="s">
        <v>19</v>
      </c>
      <c r="E74" s="76"/>
      <c r="F74" s="78" t="s">
        <v>4</v>
      </c>
      <c r="G74" s="70">
        <f>1.61/100</f>
        <v>1.61E-2</v>
      </c>
      <c r="H74" s="70">
        <v>0.70840000000000003</v>
      </c>
      <c r="I74" s="86"/>
      <c r="J74" s="86"/>
      <c r="K74" s="70"/>
      <c r="L74" s="86"/>
      <c r="M74" s="86"/>
      <c r="N74" s="74"/>
      <c r="O74" s="70">
        <f t="shared" si="10"/>
        <v>0</v>
      </c>
    </row>
    <row r="75" spans="1:15" ht="19.5" customHeight="1">
      <c r="B75" s="25">
        <v>67</v>
      </c>
      <c r="C75" s="14" t="s">
        <v>55</v>
      </c>
      <c r="D75" s="152" t="s">
        <v>304</v>
      </c>
      <c r="E75" s="153"/>
      <c r="F75" s="31" t="s">
        <v>5</v>
      </c>
      <c r="G75" s="6"/>
      <c r="H75" s="6">
        <v>16</v>
      </c>
      <c r="I75" s="35"/>
      <c r="J75" s="35"/>
      <c r="K75" s="2"/>
      <c r="L75" s="2"/>
      <c r="M75" s="35"/>
      <c r="N75" s="35"/>
      <c r="O75" s="2"/>
    </row>
    <row r="76" spans="1:15" ht="19.5" customHeight="1">
      <c r="B76" s="25">
        <v>68</v>
      </c>
      <c r="C76" s="14"/>
      <c r="D76" s="27" t="s">
        <v>30</v>
      </c>
      <c r="E76" s="28"/>
      <c r="F76" s="1" t="s">
        <v>1</v>
      </c>
      <c r="G76" s="70">
        <f>0.16</f>
        <v>0.16</v>
      </c>
      <c r="H76" s="2">
        <v>2.56</v>
      </c>
      <c r="I76" s="35"/>
      <c r="J76" s="74"/>
      <c r="K76" s="2"/>
      <c r="L76" s="2"/>
      <c r="M76" s="35"/>
      <c r="N76" s="35"/>
      <c r="O76" s="70">
        <f t="shared" ref="O76:O78" si="11">J76+L76+N76</f>
        <v>0</v>
      </c>
    </row>
    <row r="77" spans="1:15" ht="19.5" customHeight="1">
      <c r="B77" s="25">
        <v>69</v>
      </c>
      <c r="C77" s="14"/>
      <c r="D77" s="27" t="s">
        <v>31</v>
      </c>
      <c r="E77" s="28"/>
      <c r="F77" s="3" t="s">
        <v>4</v>
      </c>
      <c r="G77" s="70">
        <f>0.0655</f>
        <v>6.5500000000000003E-2</v>
      </c>
      <c r="H77" s="2">
        <v>1.048</v>
      </c>
      <c r="I77" s="35"/>
      <c r="J77" s="35"/>
      <c r="K77" s="35"/>
      <c r="L77" s="74"/>
      <c r="M77" s="35"/>
      <c r="N77" s="35"/>
      <c r="O77" s="70">
        <f t="shared" si="11"/>
        <v>0</v>
      </c>
    </row>
    <row r="78" spans="1:15" ht="19.5" customHeight="1">
      <c r="B78" s="25">
        <v>70</v>
      </c>
      <c r="C78" s="14"/>
      <c r="D78" s="27" t="s">
        <v>19</v>
      </c>
      <c r="E78" s="28"/>
      <c r="F78" s="3" t="s">
        <v>4</v>
      </c>
      <c r="G78" s="70">
        <f>0.0161</f>
        <v>1.61E-2</v>
      </c>
      <c r="H78" s="2">
        <v>0.2576</v>
      </c>
      <c r="I78" s="35"/>
      <c r="J78" s="35"/>
      <c r="K78" s="2"/>
      <c r="L78" s="2"/>
      <c r="M78" s="35"/>
      <c r="N78" s="74"/>
      <c r="O78" s="70">
        <f t="shared" si="11"/>
        <v>0</v>
      </c>
    </row>
    <row r="79" spans="1:15" ht="19.5" customHeight="1">
      <c r="B79" s="25">
        <v>71</v>
      </c>
      <c r="C79" s="14" t="s">
        <v>303</v>
      </c>
      <c r="D79" s="152" t="s">
        <v>302</v>
      </c>
      <c r="E79" s="153"/>
      <c r="F79" s="31" t="s">
        <v>5</v>
      </c>
      <c r="G79" s="6"/>
      <c r="H79" s="6">
        <v>154</v>
      </c>
      <c r="I79" s="35"/>
      <c r="J79" s="35"/>
      <c r="K79" s="2"/>
      <c r="L79" s="2"/>
      <c r="M79" s="35"/>
      <c r="N79" s="35"/>
      <c r="O79" s="2"/>
    </row>
    <row r="80" spans="1:15" ht="19.5" customHeight="1">
      <c r="B80" s="25">
        <v>72</v>
      </c>
      <c r="C80" s="14"/>
      <c r="D80" s="27" t="s">
        <v>30</v>
      </c>
      <c r="E80" s="28"/>
      <c r="F80" s="1" t="s">
        <v>1</v>
      </c>
      <c r="G80" s="70">
        <v>0.26</v>
      </c>
      <c r="H80" s="2">
        <v>40.04</v>
      </c>
      <c r="I80" s="35"/>
      <c r="J80" s="74"/>
      <c r="K80" s="2"/>
      <c r="L80" s="2"/>
      <c r="M80" s="35"/>
      <c r="N80" s="35"/>
      <c r="O80" s="70">
        <f t="shared" ref="O80:O82" si="12">J80+L80+N80</f>
        <v>0</v>
      </c>
    </row>
    <row r="81" spans="1:15" ht="19.5" customHeight="1">
      <c r="B81" s="25">
        <v>73</v>
      </c>
      <c r="C81" s="14"/>
      <c r="D81" s="27" t="s">
        <v>31</v>
      </c>
      <c r="E81" s="28"/>
      <c r="F81" s="3" t="s">
        <v>4</v>
      </c>
      <c r="G81" s="70">
        <v>0.16500000000000001</v>
      </c>
      <c r="H81" s="2">
        <v>25.41</v>
      </c>
      <c r="I81" s="35"/>
      <c r="J81" s="35"/>
      <c r="K81" s="35"/>
      <c r="L81" s="74"/>
      <c r="M81" s="35"/>
      <c r="N81" s="35"/>
      <c r="O81" s="70">
        <f t="shared" si="12"/>
        <v>0</v>
      </c>
    </row>
    <row r="82" spans="1:15" ht="19.5" customHeight="1">
      <c r="B82" s="25">
        <v>74</v>
      </c>
      <c r="C82" s="14"/>
      <c r="D82" s="27" t="s">
        <v>19</v>
      </c>
      <c r="E82" s="28"/>
      <c r="F82" s="3" t="s">
        <v>4</v>
      </c>
      <c r="G82" s="70">
        <v>1.6999999999999999E-3</v>
      </c>
      <c r="H82" s="2">
        <v>0.26179999999999998</v>
      </c>
      <c r="I82" s="35"/>
      <c r="J82" s="35"/>
      <c r="K82" s="2"/>
      <c r="L82" s="2"/>
      <c r="M82" s="35"/>
      <c r="N82" s="74"/>
      <c r="O82" s="70">
        <f t="shared" si="12"/>
        <v>0</v>
      </c>
    </row>
    <row r="83" spans="1:15" ht="19.5" customHeight="1">
      <c r="B83" s="25">
        <v>75</v>
      </c>
      <c r="C83" s="19" t="s">
        <v>42</v>
      </c>
      <c r="D83" s="152" t="s">
        <v>132</v>
      </c>
      <c r="E83" s="153"/>
      <c r="F83" s="31" t="s">
        <v>5</v>
      </c>
      <c r="G83" s="6"/>
      <c r="H83" s="73">
        <v>20</v>
      </c>
      <c r="I83" s="35"/>
      <c r="J83" s="35"/>
      <c r="K83" s="2"/>
      <c r="L83" s="2"/>
      <c r="M83" s="35"/>
      <c r="N83" s="35"/>
      <c r="O83" s="2"/>
    </row>
    <row r="84" spans="1:15" ht="19.5" customHeight="1">
      <c r="B84" s="25">
        <v>76</v>
      </c>
      <c r="C84" s="19"/>
      <c r="D84" s="27" t="s">
        <v>30</v>
      </c>
      <c r="E84" s="28"/>
      <c r="F84" s="1" t="s">
        <v>1</v>
      </c>
      <c r="G84" s="2">
        <f>0.17</f>
        <v>0.17</v>
      </c>
      <c r="H84" s="2">
        <v>3.4000000000000004</v>
      </c>
      <c r="I84" s="35"/>
      <c r="J84" s="74"/>
      <c r="K84" s="2"/>
      <c r="L84" s="2"/>
      <c r="M84" s="35"/>
      <c r="N84" s="35"/>
      <c r="O84" s="70">
        <f t="shared" ref="O84:O87" si="13">J84+L84+N84</f>
        <v>0</v>
      </c>
    </row>
    <row r="85" spans="1:15" ht="19.5" customHeight="1">
      <c r="B85" s="25">
        <v>77</v>
      </c>
      <c r="C85" s="19"/>
      <c r="D85" s="27" t="s">
        <v>31</v>
      </c>
      <c r="E85" s="28"/>
      <c r="F85" s="3" t="s">
        <v>4</v>
      </c>
      <c r="G85" s="2">
        <f>0.0379</f>
        <v>3.7900000000000003E-2</v>
      </c>
      <c r="H85" s="2">
        <v>0.75800000000000001</v>
      </c>
      <c r="I85" s="35"/>
      <c r="J85" s="35"/>
      <c r="K85" s="35"/>
      <c r="L85" s="74"/>
      <c r="M85" s="35"/>
      <c r="N85" s="35"/>
      <c r="O85" s="70">
        <f t="shared" si="13"/>
        <v>0</v>
      </c>
    </row>
    <row r="86" spans="1:15" ht="19.5" customHeight="1">
      <c r="B86" s="25">
        <v>78</v>
      </c>
      <c r="C86" s="19"/>
      <c r="D86" s="27" t="s">
        <v>19</v>
      </c>
      <c r="E86" s="28"/>
      <c r="F86" s="3" t="s">
        <v>4</v>
      </c>
      <c r="G86" s="2">
        <f>0.53/100</f>
        <v>5.3E-3</v>
      </c>
      <c r="H86" s="2">
        <v>0.106</v>
      </c>
      <c r="I86" s="35"/>
      <c r="J86" s="35"/>
      <c r="K86" s="2"/>
      <c r="L86" s="35"/>
      <c r="M86" s="35"/>
      <c r="N86" s="74"/>
      <c r="O86" s="70">
        <f t="shared" si="13"/>
        <v>0</v>
      </c>
    </row>
    <row r="87" spans="1:15" ht="19.5" customHeight="1">
      <c r="B87" s="25">
        <v>79</v>
      </c>
      <c r="C87" s="19" t="s">
        <v>8</v>
      </c>
      <c r="D87" s="152" t="s">
        <v>28</v>
      </c>
      <c r="E87" s="153"/>
      <c r="F87" s="31" t="s">
        <v>5</v>
      </c>
      <c r="G87" s="6"/>
      <c r="H87" s="6">
        <v>46</v>
      </c>
      <c r="I87" s="2"/>
      <c r="J87" s="74"/>
      <c r="K87" s="2"/>
      <c r="L87" s="2"/>
      <c r="M87" s="35"/>
      <c r="N87" s="35"/>
      <c r="O87" s="70">
        <f t="shared" si="13"/>
        <v>0</v>
      </c>
    </row>
    <row r="88" spans="1:15" ht="25.5" customHeight="1">
      <c r="B88" s="25">
        <v>80</v>
      </c>
      <c r="C88" s="19" t="s">
        <v>89</v>
      </c>
      <c r="D88" s="152" t="s">
        <v>113</v>
      </c>
      <c r="E88" s="153"/>
      <c r="F88" s="32" t="s">
        <v>7</v>
      </c>
      <c r="G88" s="6"/>
      <c r="H88" s="6">
        <v>1</v>
      </c>
      <c r="I88" s="5"/>
      <c r="J88" s="5"/>
      <c r="K88" s="2"/>
      <c r="L88" s="2"/>
      <c r="M88" s="5"/>
      <c r="N88" s="5"/>
      <c r="O88" s="2"/>
    </row>
    <row r="89" spans="1:15" ht="18.75" customHeight="1">
      <c r="B89" s="25">
        <v>81</v>
      </c>
      <c r="C89" s="19"/>
      <c r="D89" s="27" t="s">
        <v>30</v>
      </c>
      <c r="E89" s="28"/>
      <c r="F89" s="1" t="s">
        <v>1</v>
      </c>
      <c r="G89" s="2">
        <v>3</v>
      </c>
      <c r="H89" s="2">
        <v>3</v>
      </c>
      <c r="I89" s="86"/>
      <c r="J89" s="74"/>
      <c r="K89" s="2"/>
      <c r="L89" s="2"/>
      <c r="M89" s="5"/>
      <c r="N89" s="5"/>
      <c r="O89" s="70">
        <f t="shared" ref="O89:O90" si="14">J89+L89+N89</f>
        <v>0</v>
      </c>
    </row>
    <row r="90" spans="1:15" ht="18.75" customHeight="1">
      <c r="B90" s="25">
        <v>82</v>
      </c>
      <c r="C90" s="19"/>
      <c r="D90" s="27" t="s">
        <v>19</v>
      </c>
      <c r="E90" s="28"/>
      <c r="F90" s="3" t="s">
        <v>4</v>
      </c>
      <c r="G90" s="2">
        <f>0.01</f>
        <v>0.01</v>
      </c>
      <c r="H90" s="2">
        <v>0.01</v>
      </c>
      <c r="I90" s="5"/>
      <c r="J90" s="5"/>
      <c r="K90" s="2"/>
      <c r="L90" s="2"/>
      <c r="M90" s="5"/>
      <c r="N90" s="74"/>
      <c r="O90" s="70">
        <f t="shared" si="14"/>
        <v>0</v>
      </c>
    </row>
    <row r="91" spans="1:15" ht="26.25" customHeight="1">
      <c r="B91" s="25">
        <v>83</v>
      </c>
      <c r="C91" s="19" t="s">
        <v>56</v>
      </c>
      <c r="D91" s="152" t="s">
        <v>112</v>
      </c>
      <c r="E91" s="153"/>
      <c r="F91" s="32" t="s">
        <v>7</v>
      </c>
      <c r="G91" s="6"/>
      <c r="H91" s="6">
        <v>5</v>
      </c>
      <c r="I91" s="5"/>
      <c r="J91" s="5"/>
      <c r="K91" s="2"/>
      <c r="L91" s="2"/>
      <c r="M91" s="5"/>
      <c r="N91" s="5"/>
      <c r="O91" s="2"/>
    </row>
    <row r="92" spans="1:15" ht="18.75" customHeight="1">
      <c r="B92" s="25">
        <v>84</v>
      </c>
      <c r="C92" s="19"/>
      <c r="D92" s="27" t="s">
        <v>30</v>
      </c>
      <c r="E92" s="28"/>
      <c r="F92" s="1" t="s">
        <v>1</v>
      </c>
      <c r="G92" s="2">
        <v>3</v>
      </c>
      <c r="H92" s="2">
        <v>15</v>
      </c>
      <c r="I92" s="86"/>
      <c r="J92" s="74"/>
      <c r="K92" s="2"/>
      <c r="L92" s="2"/>
      <c r="M92" s="5"/>
      <c r="N92" s="5"/>
      <c r="O92" s="70">
        <f t="shared" ref="O92:O93" si="15">J92+L92+N92</f>
        <v>0</v>
      </c>
    </row>
    <row r="93" spans="1:15" ht="18.75" customHeight="1">
      <c r="B93" s="25">
        <v>85</v>
      </c>
      <c r="C93" s="19"/>
      <c r="D93" s="27" t="s">
        <v>19</v>
      </c>
      <c r="E93" s="28"/>
      <c r="F93" s="3" t="s">
        <v>4</v>
      </c>
      <c r="G93" s="2">
        <f>0.01</f>
        <v>0.01</v>
      </c>
      <c r="H93" s="2">
        <v>0.05</v>
      </c>
      <c r="I93" s="5"/>
      <c r="J93" s="5"/>
      <c r="K93" s="2"/>
      <c r="L93" s="2"/>
      <c r="M93" s="5"/>
      <c r="N93" s="74"/>
      <c r="O93" s="70">
        <f t="shared" si="15"/>
        <v>0</v>
      </c>
    </row>
    <row r="94" spans="1:15" ht="19.5" customHeight="1">
      <c r="A94" s="9"/>
      <c r="B94" s="25">
        <v>86</v>
      </c>
      <c r="C94" s="19" t="s">
        <v>90</v>
      </c>
      <c r="D94" s="161" t="s">
        <v>114</v>
      </c>
      <c r="E94" s="162"/>
      <c r="F94" s="80" t="s">
        <v>7</v>
      </c>
      <c r="G94" s="73"/>
      <c r="H94" s="73">
        <v>1</v>
      </c>
      <c r="I94" s="86"/>
      <c r="J94" s="86"/>
      <c r="K94" s="70"/>
      <c r="L94" s="70"/>
      <c r="M94" s="86"/>
      <c r="N94" s="86"/>
      <c r="O94" s="70"/>
    </row>
    <row r="95" spans="1:15" ht="19.5" customHeight="1">
      <c r="A95" s="9"/>
      <c r="B95" s="25">
        <v>87</v>
      </c>
      <c r="C95" s="19"/>
      <c r="D95" s="75" t="s">
        <v>30</v>
      </c>
      <c r="E95" s="76"/>
      <c r="F95" s="77" t="s">
        <v>1</v>
      </c>
      <c r="G95" s="70">
        <f>14</f>
        <v>14</v>
      </c>
      <c r="H95" s="70">
        <v>14</v>
      </c>
      <c r="I95" s="86"/>
      <c r="J95" s="74"/>
      <c r="K95" s="70"/>
      <c r="L95" s="70"/>
      <c r="M95" s="86"/>
      <c r="N95" s="86"/>
      <c r="O95" s="70">
        <f t="shared" ref="O95:O96" si="16">J95+L95+N95</f>
        <v>0</v>
      </c>
    </row>
    <row r="96" spans="1:15" ht="19.5" customHeight="1">
      <c r="A96" s="9"/>
      <c r="B96" s="25">
        <v>88</v>
      </c>
      <c r="C96" s="19"/>
      <c r="D96" s="75" t="s">
        <v>19</v>
      </c>
      <c r="E96" s="76"/>
      <c r="F96" s="78" t="s">
        <v>4</v>
      </c>
      <c r="G96" s="70">
        <f>0.08</f>
        <v>0.08</v>
      </c>
      <c r="H96" s="70">
        <v>0.08</v>
      </c>
      <c r="I96" s="86"/>
      <c r="J96" s="86"/>
      <c r="K96" s="70"/>
      <c r="L96" s="70"/>
      <c r="M96" s="86"/>
      <c r="N96" s="74"/>
      <c r="O96" s="70">
        <f t="shared" si="16"/>
        <v>0</v>
      </c>
    </row>
    <row r="97" spans="1:15" ht="18.75" customHeight="1">
      <c r="A97" s="9"/>
      <c r="B97" s="25">
        <v>89</v>
      </c>
      <c r="C97" s="14" t="s">
        <v>60</v>
      </c>
      <c r="D97" s="152" t="s">
        <v>160</v>
      </c>
      <c r="E97" s="153"/>
      <c r="F97" s="32" t="s">
        <v>7</v>
      </c>
      <c r="G97" s="6"/>
      <c r="H97" s="6">
        <v>1</v>
      </c>
      <c r="I97" s="5"/>
      <c r="J97" s="5"/>
      <c r="K97" s="2"/>
      <c r="L97" s="2"/>
      <c r="M97" s="5"/>
      <c r="N97" s="5"/>
      <c r="O97" s="2"/>
    </row>
    <row r="98" spans="1:15" ht="18.75" customHeight="1">
      <c r="A98" s="9"/>
      <c r="B98" s="25">
        <v>90</v>
      </c>
      <c r="C98" s="14"/>
      <c r="D98" s="27" t="s">
        <v>30</v>
      </c>
      <c r="E98" s="28"/>
      <c r="F98" s="1" t="s">
        <v>1</v>
      </c>
      <c r="G98" s="2">
        <v>10</v>
      </c>
      <c r="H98" s="2">
        <v>10</v>
      </c>
      <c r="I98" s="86"/>
      <c r="J98" s="5"/>
      <c r="K98" s="2"/>
      <c r="L98" s="2"/>
      <c r="M98" s="5"/>
      <c r="N98" s="5"/>
      <c r="O98" s="2">
        <f t="shared" ref="O98" si="17">J98+L98+N98</f>
        <v>0</v>
      </c>
    </row>
    <row r="99" spans="1:15" ht="18.75" customHeight="1">
      <c r="A99" s="9"/>
      <c r="B99" s="25">
        <v>91</v>
      </c>
      <c r="C99" s="14"/>
      <c r="D99" s="27" t="s">
        <v>19</v>
      </c>
      <c r="E99" s="28"/>
      <c r="F99" s="3" t="s">
        <v>4</v>
      </c>
      <c r="G99" s="2">
        <v>0.08</v>
      </c>
      <c r="H99" s="2">
        <v>0.08</v>
      </c>
      <c r="I99" s="5"/>
      <c r="J99" s="5"/>
      <c r="K99" s="2"/>
      <c r="L99" s="2"/>
      <c r="M99" s="5"/>
      <c r="N99" s="5"/>
      <c r="O99" s="2">
        <f t="shared" ref="O99" si="18">L99+J99+N99</f>
        <v>0</v>
      </c>
    </row>
    <row r="100" spans="1:15">
      <c r="A100" s="9"/>
      <c r="B100" s="25">
        <v>92</v>
      </c>
      <c r="C100" s="14" t="s">
        <v>61</v>
      </c>
      <c r="D100" s="152" t="s">
        <v>76</v>
      </c>
      <c r="E100" s="153"/>
      <c r="F100" s="32" t="s">
        <v>7</v>
      </c>
      <c r="G100" s="6"/>
      <c r="H100" s="6">
        <v>20</v>
      </c>
      <c r="I100" s="5"/>
      <c r="J100" s="5"/>
      <c r="K100" s="2"/>
      <c r="L100" s="2"/>
      <c r="M100" s="5"/>
      <c r="N100" s="5"/>
      <c r="O100" s="2"/>
    </row>
    <row r="101" spans="1:15">
      <c r="A101" s="9"/>
      <c r="B101" s="25">
        <v>93</v>
      </c>
      <c r="C101" s="14"/>
      <c r="D101" s="27" t="s">
        <v>30</v>
      </c>
      <c r="E101" s="28"/>
      <c r="F101" s="1" t="s">
        <v>1</v>
      </c>
      <c r="G101" s="2">
        <v>10</v>
      </c>
      <c r="H101" s="2">
        <v>200</v>
      </c>
      <c r="I101" s="86"/>
      <c r="J101" s="5"/>
      <c r="K101" s="2"/>
      <c r="L101" s="2"/>
      <c r="M101" s="5"/>
      <c r="N101" s="5"/>
      <c r="O101" s="2">
        <f t="shared" ref="O101:O102" si="19">L101+J101+N101</f>
        <v>0</v>
      </c>
    </row>
    <row r="102" spans="1:15">
      <c r="A102" s="9"/>
      <c r="B102" s="25">
        <v>94</v>
      </c>
      <c r="C102" s="14"/>
      <c r="D102" s="27" t="s">
        <v>19</v>
      </c>
      <c r="E102" s="28"/>
      <c r="F102" s="3" t="s">
        <v>4</v>
      </c>
      <c r="G102" s="2">
        <v>0.08</v>
      </c>
      <c r="H102" s="2">
        <v>1.6</v>
      </c>
      <c r="I102" s="5"/>
      <c r="J102" s="5"/>
      <c r="K102" s="2"/>
      <c r="L102" s="2"/>
      <c r="M102" s="5"/>
      <c r="N102" s="5"/>
      <c r="O102" s="2">
        <f t="shared" si="19"/>
        <v>0</v>
      </c>
    </row>
    <row r="103" spans="1:15" ht="18" customHeight="1">
      <c r="A103" s="9"/>
      <c r="B103" s="25">
        <v>95</v>
      </c>
      <c r="C103" s="14" t="s">
        <v>57</v>
      </c>
      <c r="D103" s="152" t="s">
        <v>58</v>
      </c>
      <c r="E103" s="153"/>
      <c r="F103" s="32" t="s">
        <v>7</v>
      </c>
      <c r="G103" s="6"/>
      <c r="H103" s="6">
        <v>20</v>
      </c>
      <c r="I103" s="5"/>
      <c r="J103" s="5"/>
      <c r="K103" s="2"/>
      <c r="L103" s="2"/>
      <c r="M103" s="5"/>
      <c r="N103" s="5"/>
      <c r="O103" s="2"/>
    </row>
    <row r="104" spans="1:15">
      <c r="A104" s="9"/>
      <c r="B104" s="25">
        <v>96</v>
      </c>
      <c r="C104" s="14"/>
      <c r="D104" s="27" t="s">
        <v>30</v>
      </c>
      <c r="E104" s="28"/>
      <c r="F104" s="1" t="s">
        <v>1</v>
      </c>
      <c r="G104" s="2">
        <f>2</f>
        <v>2</v>
      </c>
      <c r="H104" s="2">
        <v>40</v>
      </c>
      <c r="I104" s="86"/>
      <c r="J104" s="5"/>
      <c r="K104" s="2"/>
      <c r="L104" s="2"/>
      <c r="M104" s="5"/>
      <c r="N104" s="5"/>
      <c r="O104" s="2">
        <f t="shared" ref="O104:O105" si="20">L104+J104+N104</f>
        <v>0</v>
      </c>
    </row>
    <row r="105" spans="1:15">
      <c r="A105" s="9"/>
      <c r="B105" s="25">
        <v>97</v>
      </c>
      <c r="C105" s="14"/>
      <c r="D105" s="27" t="s">
        <v>19</v>
      </c>
      <c r="E105" s="28"/>
      <c r="F105" s="3" t="s">
        <v>4</v>
      </c>
      <c r="G105" s="2">
        <f>0.01</f>
        <v>0.01</v>
      </c>
      <c r="H105" s="2">
        <v>0.2</v>
      </c>
      <c r="I105" s="5"/>
      <c r="J105" s="5"/>
      <c r="K105" s="2"/>
      <c r="L105" s="2"/>
      <c r="M105" s="5"/>
      <c r="N105" s="5"/>
      <c r="O105" s="2">
        <f t="shared" si="20"/>
        <v>0</v>
      </c>
    </row>
    <row r="106" spans="1:15">
      <c r="B106" s="25">
        <v>98</v>
      </c>
      <c r="C106" s="19" t="s">
        <v>29</v>
      </c>
      <c r="D106" s="152" t="s">
        <v>119</v>
      </c>
      <c r="E106" s="153"/>
      <c r="F106" s="32" t="s">
        <v>7</v>
      </c>
      <c r="G106" s="6"/>
      <c r="H106" s="6">
        <v>83</v>
      </c>
      <c r="I106" s="5"/>
      <c r="J106" s="5"/>
      <c r="K106" s="2"/>
      <c r="L106" s="2"/>
      <c r="M106" s="5"/>
      <c r="N106" s="5"/>
      <c r="O106" s="2"/>
    </row>
    <row r="107" spans="1:15">
      <c r="B107" s="25">
        <v>99</v>
      </c>
      <c r="C107" s="19"/>
      <c r="D107" s="27" t="s">
        <v>30</v>
      </c>
      <c r="E107" s="28"/>
      <c r="F107" s="1" t="s">
        <v>1</v>
      </c>
      <c r="G107" s="2">
        <f>46/100</f>
        <v>0.46</v>
      </c>
      <c r="H107" s="2">
        <v>38.18</v>
      </c>
      <c r="I107" s="86"/>
      <c r="J107" s="74"/>
      <c r="K107" s="2"/>
      <c r="L107" s="2"/>
      <c r="M107" s="5"/>
      <c r="N107" s="5"/>
      <c r="O107" s="70">
        <f t="shared" ref="O107:O108" si="21">J107+L107+N107</f>
        <v>0</v>
      </c>
    </row>
    <row r="108" spans="1:15">
      <c r="B108" s="25">
        <v>100</v>
      </c>
      <c r="C108" s="19"/>
      <c r="D108" s="27" t="s">
        <v>31</v>
      </c>
      <c r="E108" s="28"/>
      <c r="F108" s="3" t="s">
        <v>4</v>
      </c>
      <c r="G108" s="2">
        <f>32.1/100</f>
        <v>0.32100000000000001</v>
      </c>
      <c r="H108" s="2">
        <v>26.643000000000001</v>
      </c>
      <c r="I108" s="5"/>
      <c r="J108" s="5"/>
      <c r="K108" s="2"/>
      <c r="L108" s="2"/>
      <c r="M108" s="5"/>
      <c r="N108" s="74"/>
      <c r="O108" s="70">
        <f t="shared" si="21"/>
        <v>0</v>
      </c>
    </row>
    <row r="109" spans="1:15">
      <c r="B109" s="25">
        <v>101</v>
      </c>
      <c r="C109" s="19" t="s">
        <v>59</v>
      </c>
      <c r="D109" s="152" t="s">
        <v>120</v>
      </c>
      <c r="E109" s="153"/>
      <c r="F109" s="32" t="s">
        <v>7</v>
      </c>
      <c r="G109" s="6"/>
      <c r="H109" s="6">
        <v>15</v>
      </c>
      <c r="I109" s="5"/>
      <c r="J109" s="5"/>
      <c r="K109" s="2"/>
      <c r="L109" s="2"/>
      <c r="M109" s="5"/>
      <c r="N109" s="5"/>
      <c r="O109" s="2"/>
    </row>
    <row r="110" spans="1:15">
      <c r="B110" s="25">
        <v>102</v>
      </c>
      <c r="C110" s="19"/>
      <c r="D110" s="27" t="s">
        <v>30</v>
      </c>
      <c r="E110" s="28"/>
      <c r="F110" s="1" t="s">
        <v>1</v>
      </c>
      <c r="G110" s="2">
        <f>33/100</f>
        <v>0.33</v>
      </c>
      <c r="H110" s="2">
        <v>4.95</v>
      </c>
      <c r="I110" s="86"/>
      <c r="J110" s="74"/>
      <c r="K110" s="2"/>
      <c r="L110" s="2"/>
      <c r="M110" s="5"/>
      <c r="N110" s="5"/>
      <c r="O110" s="70">
        <f t="shared" ref="O110:O111" si="22">J110+L110+N110</f>
        <v>0</v>
      </c>
    </row>
    <row r="111" spans="1:15">
      <c r="B111" s="25">
        <v>103</v>
      </c>
      <c r="C111" s="19"/>
      <c r="D111" s="27" t="s">
        <v>31</v>
      </c>
      <c r="E111" s="28"/>
      <c r="F111" s="3" t="s">
        <v>4</v>
      </c>
      <c r="G111" s="2">
        <f>23/100</f>
        <v>0.23</v>
      </c>
      <c r="H111" s="2">
        <v>3.45</v>
      </c>
      <c r="I111" s="5"/>
      <c r="J111" s="5"/>
      <c r="K111" s="2"/>
      <c r="L111" s="2"/>
      <c r="M111" s="5"/>
      <c r="N111" s="74"/>
      <c r="O111" s="70">
        <f t="shared" si="22"/>
        <v>0</v>
      </c>
    </row>
    <row r="112" spans="1:15" ht="28.5" customHeight="1">
      <c r="A112" s="9"/>
      <c r="B112" s="25">
        <v>104</v>
      </c>
      <c r="C112" s="14" t="s">
        <v>65</v>
      </c>
      <c r="D112" s="152" t="s">
        <v>145</v>
      </c>
      <c r="E112" s="153"/>
      <c r="F112" s="32" t="s">
        <v>6</v>
      </c>
      <c r="G112" s="35"/>
      <c r="H112" s="36">
        <v>2</v>
      </c>
      <c r="I112" s="35"/>
      <c r="J112" s="35"/>
      <c r="K112" s="2"/>
      <c r="L112" s="2"/>
      <c r="M112" s="35"/>
      <c r="N112" s="35"/>
      <c r="O112" s="2"/>
    </row>
    <row r="113" spans="1:15" ht="19.5" customHeight="1">
      <c r="A113" s="9"/>
      <c r="B113" s="25">
        <v>105</v>
      </c>
      <c r="C113" s="14"/>
      <c r="D113" s="27" t="s">
        <v>30</v>
      </c>
      <c r="E113" s="66"/>
      <c r="F113" s="1" t="s">
        <v>1</v>
      </c>
      <c r="G113" s="2">
        <f>22</f>
        <v>22</v>
      </c>
      <c r="H113" s="2">
        <v>44</v>
      </c>
      <c r="I113" s="35"/>
      <c r="J113" s="35"/>
      <c r="K113" s="2"/>
      <c r="L113" s="2"/>
      <c r="M113" s="35"/>
      <c r="N113" s="35"/>
      <c r="O113" s="2">
        <f t="shared" ref="O113:O115" si="23">L113+J113+N113</f>
        <v>0</v>
      </c>
    </row>
    <row r="114" spans="1:15" ht="19.5" customHeight="1">
      <c r="A114" s="9"/>
      <c r="B114" s="25">
        <v>106</v>
      </c>
      <c r="C114" s="14"/>
      <c r="D114" s="27" t="s">
        <v>31</v>
      </c>
      <c r="E114" s="66"/>
      <c r="F114" s="3" t="s">
        <v>4</v>
      </c>
      <c r="G114" s="2">
        <f>7</f>
        <v>7</v>
      </c>
      <c r="H114" s="2">
        <v>14</v>
      </c>
      <c r="I114" s="35"/>
      <c r="J114" s="35"/>
      <c r="K114" s="2"/>
      <c r="L114" s="2"/>
      <c r="M114" s="35"/>
      <c r="N114" s="35"/>
      <c r="O114" s="2">
        <f t="shared" si="23"/>
        <v>0</v>
      </c>
    </row>
    <row r="115" spans="1:15" ht="19.5" customHeight="1">
      <c r="A115" s="9"/>
      <c r="B115" s="25">
        <v>107</v>
      </c>
      <c r="C115" s="14"/>
      <c r="D115" s="27" t="s">
        <v>19</v>
      </c>
      <c r="E115" s="66"/>
      <c r="F115" s="3" t="s">
        <v>4</v>
      </c>
      <c r="G115" s="2">
        <f>5.5</f>
        <v>5.5</v>
      </c>
      <c r="H115" s="2">
        <v>11</v>
      </c>
      <c r="I115" s="35"/>
      <c r="J115" s="35"/>
      <c r="K115" s="2"/>
      <c r="L115" s="2"/>
      <c r="M115" s="35"/>
      <c r="N115" s="35"/>
      <c r="O115" s="2">
        <f t="shared" si="23"/>
        <v>0</v>
      </c>
    </row>
    <row r="116" spans="1:15" ht="23.25" customHeight="1">
      <c r="A116" s="9"/>
      <c r="B116" s="25">
        <v>108</v>
      </c>
      <c r="C116" s="19" t="s">
        <v>66</v>
      </c>
      <c r="D116" s="161" t="s">
        <v>77</v>
      </c>
      <c r="E116" s="162"/>
      <c r="F116" s="80" t="s">
        <v>6</v>
      </c>
      <c r="G116" s="70"/>
      <c r="H116" s="36">
        <v>8</v>
      </c>
      <c r="I116" s="74"/>
      <c r="J116" s="74"/>
      <c r="K116" s="70"/>
      <c r="L116" s="70"/>
      <c r="M116" s="74"/>
      <c r="N116" s="74"/>
      <c r="O116" s="70">
        <f t="shared" ref="O116" si="24">J116+L116+N116</f>
        <v>0</v>
      </c>
    </row>
    <row r="117" spans="1:15">
      <c r="A117" s="9"/>
      <c r="B117" s="25">
        <v>109</v>
      </c>
      <c r="C117" s="19" t="s">
        <v>66</v>
      </c>
      <c r="D117" s="161" t="s">
        <v>67</v>
      </c>
      <c r="E117" s="162"/>
      <c r="F117" s="80" t="s">
        <v>6</v>
      </c>
      <c r="G117" s="74"/>
      <c r="H117" s="36">
        <v>2</v>
      </c>
      <c r="I117" s="74"/>
      <c r="J117" s="74"/>
      <c r="K117" s="70"/>
      <c r="L117" s="70"/>
      <c r="M117" s="74"/>
      <c r="N117" s="74"/>
      <c r="O117" s="70">
        <f>J117+L117+N117</f>
        <v>0</v>
      </c>
    </row>
    <row r="118" spans="1:15" ht="26.25" customHeight="1">
      <c r="A118" s="9"/>
      <c r="B118" s="25">
        <v>110</v>
      </c>
      <c r="C118" s="19" t="s">
        <v>158</v>
      </c>
      <c r="D118" s="152" t="s">
        <v>157</v>
      </c>
      <c r="E118" s="153"/>
      <c r="F118" s="80" t="s">
        <v>6</v>
      </c>
      <c r="G118" s="74"/>
      <c r="H118" s="36">
        <v>2</v>
      </c>
      <c r="I118" s="74"/>
      <c r="J118" s="74"/>
      <c r="K118" s="70"/>
      <c r="L118" s="70"/>
      <c r="M118" s="74"/>
      <c r="N118" s="74"/>
      <c r="O118" s="70"/>
    </row>
    <row r="119" spans="1:15">
      <c r="A119" s="9"/>
      <c r="B119" s="25">
        <v>111</v>
      </c>
      <c r="C119" s="19"/>
      <c r="D119" s="75" t="s">
        <v>30</v>
      </c>
      <c r="E119" s="76"/>
      <c r="F119" s="77" t="s">
        <v>1</v>
      </c>
      <c r="G119" s="74">
        <f>6</f>
        <v>6</v>
      </c>
      <c r="H119" s="70">
        <v>12</v>
      </c>
      <c r="I119" s="86"/>
      <c r="J119" s="74"/>
      <c r="K119" s="70"/>
      <c r="L119" s="70"/>
      <c r="M119" s="74"/>
      <c r="N119" s="74"/>
      <c r="O119" s="70">
        <f t="shared" ref="O119:O121" si="25">J119+L119+N119</f>
        <v>0</v>
      </c>
    </row>
    <row r="120" spans="1:15">
      <c r="A120" s="9"/>
      <c r="B120" s="25">
        <v>112</v>
      </c>
      <c r="C120" s="19"/>
      <c r="D120" s="75" t="s">
        <v>31</v>
      </c>
      <c r="E120" s="76"/>
      <c r="F120" s="78" t="s">
        <v>4</v>
      </c>
      <c r="G120" s="70">
        <f>10.8</f>
        <v>10.8</v>
      </c>
      <c r="H120" s="70">
        <v>21.6</v>
      </c>
      <c r="I120" s="74"/>
      <c r="J120" s="74"/>
      <c r="K120" s="70"/>
      <c r="L120" s="74"/>
      <c r="M120" s="74"/>
      <c r="N120" s="74"/>
      <c r="O120" s="70">
        <f t="shared" si="25"/>
        <v>0</v>
      </c>
    </row>
    <row r="121" spans="1:15">
      <c r="A121" s="9"/>
      <c r="B121" s="25">
        <v>113</v>
      </c>
      <c r="C121" s="19"/>
      <c r="D121" s="75" t="s">
        <v>19</v>
      </c>
      <c r="E121" s="76"/>
      <c r="F121" s="78" t="s">
        <v>4</v>
      </c>
      <c r="G121" s="70">
        <f>0.5</f>
        <v>0.5</v>
      </c>
      <c r="H121" s="70">
        <v>1</v>
      </c>
      <c r="I121" s="74"/>
      <c r="J121" s="74"/>
      <c r="K121" s="70"/>
      <c r="L121" s="70"/>
      <c r="M121" s="74"/>
      <c r="N121" s="74"/>
      <c r="O121" s="70">
        <f t="shared" si="25"/>
        <v>0</v>
      </c>
    </row>
    <row r="122" spans="1:15">
      <c r="A122" s="9"/>
      <c r="B122" s="25">
        <v>114</v>
      </c>
      <c r="C122" s="19" t="s">
        <v>108</v>
      </c>
      <c r="D122" s="161" t="s">
        <v>154</v>
      </c>
      <c r="E122" s="162"/>
      <c r="F122" s="80" t="s">
        <v>6</v>
      </c>
      <c r="G122" s="74"/>
      <c r="H122" s="36">
        <v>3</v>
      </c>
      <c r="I122" s="74"/>
      <c r="J122" s="74"/>
      <c r="K122" s="70"/>
      <c r="L122" s="70"/>
      <c r="M122" s="74"/>
      <c r="N122" s="74"/>
      <c r="O122" s="70"/>
    </row>
    <row r="123" spans="1:15">
      <c r="A123" s="9"/>
      <c r="B123" s="25">
        <v>115</v>
      </c>
      <c r="C123" s="19"/>
      <c r="D123" s="75" t="s">
        <v>30</v>
      </c>
      <c r="E123" s="76"/>
      <c r="F123" s="77" t="s">
        <v>1</v>
      </c>
      <c r="G123" s="74">
        <f>23</f>
        <v>23</v>
      </c>
      <c r="H123" s="70">
        <v>69</v>
      </c>
      <c r="I123" s="86"/>
      <c r="J123" s="74"/>
      <c r="K123" s="70"/>
      <c r="L123" s="70"/>
      <c r="M123" s="74"/>
      <c r="N123" s="74"/>
      <c r="O123" s="70">
        <f t="shared" ref="O123:O126" si="26">J123+L123+N123</f>
        <v>0</v>
      </c>
    </row>
    <row r="124" spans="1:15">
      <c r="A124" s="9"/>
      <c r="B124" s="25">
        <v>116</v>
      </c>
      <c r="C124" s="19"/>
      <c r="D124" s="75" t="s">
        <v>31</v>
      </c>
      <c r="E124" s="76"/>
      <c r="F124" s="78" t="s">
        <v>4</v>
      </c>
      <c r="G124" s="70">
        <f>3.17</f>
        <v>3.17</v>
      </c>
      <c r="H124" s="70">
        <v>9.51</v>
      </c>
      <c r="I124" s="74"/>
      <c r="J124" s="74"/>
      <c r="K124" s="70"/>
      <c r="L124" s="74"/>
      <c r="M124" s="74"/>
      <c r="N124" s="74"/>
      <c r="O124" s="70">
        <f t="shared" si="26"/>
        <v>0</v>
      </c>
    </row>
    <row r="125" spans="1:15">
      <c r="A125" s="9"/>
      <c r="B125" s="25">
        <v>117</v>
      </c>
      <c r="C125" s="19"/>
      <c r="D125" s="75" t="s">
        <v>19</v>
      </c>
      <c r="E125" s="76"/>
      <c r="F125" s="78" t="s">
        <v>4</v>
      </c>
      <c r="G125" s="70">
        <f>2.93</f>
        <v>2.93</v>
      </c>
      <c r="H125" s="70">
        <v>8.7900000000000009</v>
      </c>
      <c r="I125" s="74"/>
      <c r="J125" s="74"/>
      <c r="K125" s="70"/>
      <c r="L125" s="70"/>
      <c r="M125" s="74"/>
      <c r="N125" s="74"/>
      <c r="O125" s="70">
        <f t="shared" si="26"/>
        <v>0</v>
      </c>
    </row>
    <row r="126" spans="1:15" ht="25.5" customHeight="1">
      <c r="A126" s="9"/>
      <c r="B126" s="25">
        <v>118</v>
      </c>
      <c r="C126" s="19" t="s">
        <v>8</v>
      </c>
      <c r="D126" s="161" t="s">
        <v>153</v>
      </c>
      <c r="E126" s="162"/>
      <c r="F126" s="80" t="s">
        <v>6</v>
      </c>
      <c r="G126" s="74"/>
      <c r="H126" s="36">
        <v>3</v>
      </c>
      <c r="I126" s="74"/>
      <c r="J126" s="74"/>
      <c r="K126" s="70"/>
      <c r="L126" s="70"/>
      <c r="M126" s="74"/>
      <c r="N126" s="74"/>
      <c r="O126" s="70">
        <f t="shared" si="26"/>
        <v>0</v>
      </c>
    </row>
    <row r="127" spans="1:15">
      <c r="A127" s="9"/>
      <c r="B127" s="25">
        <v>119</v>
      </c>
      <c r="C127" s="19" t="s">
        <v>109</v>
      </c>
      <c r="D127" s="161" t="s">
        <v>152</v>
      </c>
      <c r="E127" s="162"/>
      <c r="F127" s="80" t="s">
        <v>6</v>
      </c>
      <c r="G127" s="74"/>
      <c r="H127" s="36">
        <v>4</v>
      </c>
      <c r="I127" s="74"/>
      <c r="J127" s="74"/>
      <c r="K127" s="70"/>
      <c r="L127" s="70"/>
      <c r="M127" s="74"/>
      <c r="N127" s="74"/>
      <c r="O127" s="70"/>
    </row>
    <row r="128" spans="1:15">
      <c r="A128" s="9"/>
      <c r="B128" s="25">
        <v>120</v>
      </c>
      <c r="C128" s="19"/>
      <c r="D128" s="75" t="s">
        <v>30</v>
      </c>
      <c r="E128" s="76"/>
      <c r="F128" s="77" t="s">
        <v>1</v>
      </c>
      <c r="G128" s="74">
        <f>16</f>
        <v>16</v>
      </c>
      <c r="H128" s="70">
        <v>64</v>
      </c>
      <c r="I128" s="86"/>
      <c r="J128" s="74"/>
      <c r="K128" s="70"/>
      <c r="L128" s="70"/>
      <c r="M128" s="74"/>
      <c r="N128" s="74"/>
      <c r="O128" s="70">
        <f t="shared" ref="O128:O130" si="27">J128+L128+N128</f>
        <v>0</v>
      </c>
    </row>
    <row r="129" spans="1:15">
      <c r="A129" s="9"/>
      <c r="B129" s="25">
        <v>121</v>
      </c>
      <c r="C129" s="19"/>
      <c r="D129" s="75" t="s">
        <v>31</v>
      </c>
      <c r="E129" s="76"/>
      <c r="F129" s="78" t="s">
        <v>4</v>
      </c>
      <c r="G129" s="70">
        <f>3.07</f>
        <v>3.07</v>
      </c>
      <c r="H129" s="70">
        <v>12.28</v>
      </c>
      <c r="I129" s="74"/>
      <c r="J129" s="74"/>
      <c r="K129" s="70"/>
      <c r="L129" s="74"/>
      <c r="M129" s="74"/>
      <c r="N129" s="74"/>
      <c r="O129" s="70">
        <f t="shared" si="27"/>
        <v>0</v>
      </c>
    </row>
    <row r="130" spans="1:15">
      <c r="A130" s="9"/>
      <c r="B130" s="25">
        <v>122</v>
      </c>
      <c r="C130" s="19"/>
      <c r="D130" s="75" t="s">
        <v>19</v>
      </c>
      <c r="E130" s="76"/>
      <c r="F130" s="78" t="s">
        <v>4</v>
      </c>
      <c r="G130" s="70">
        <f>1.29</f>
        <v>1.29</v>
      </c>
      <c r="H130" s="70">
        <v>5.16</v>
      </c>
      <c r="I130" s="74"/>
      <c r="J130" s="74"/>
      <c r="K130" s="70"/>
      <c r="L130" s="70"/>
      <c r="M130" s="74"/>
      <c r="N130" s="74"/>
      <c r="O130" s="70">
        <f t="shared" si="27"/>
        <v>0</v>
      </c>
    </row>
    <row r="131" spans="1:15">
      <c r="A131" s="9"/>
      <c r="B131" s="25">
        <v>123</v>
      </c>
      <c r="C131" s="19" t="s">
        <v>151</v>
      </c>
      <c r="D131" s="161" t="s">
        <v>159</v>
      </c>
      <c r="E131" s="162"/>
      <c r="F131" s="80" t="s">
        <v>6</v>
      </c>
      <c r="G131" s="70"/>
      <c r="H131" s="36">
        <v>2</v>
      </c>
      <c r="I131" s="74"/>
      <c r="J131" s="74"/>
      <c r="K131" s="70"/>
      <c r="L131" s="70"/>
      <c r="M131" s="74"/>
      <c r="N131" s="74"/>
      <c r="O131" s="70"/>
    </row>
    <row r="132" spans="1:15">
      <c r="A132" s="9"/>
      <c r="B132" s="25">
        <v>124</v>
      </c>
      <c r="C132" s="19"/>
      <c r="D132" s="75" t="s">
        <v>30</v>
      </c>
      <c r="E132" s="76"/>
      <c r="F132" s="77" t="s">
        <v>1</v>
      </c>
      <c r="G132" s="74">
        <f>3</f>
        <v>3</v>
      </c>
      <c r="H132" s="70">
        <v>6</v>
      </c>
      <c r="I132" s="86"/>
      <c r="J132" s="74"/>
      <c r="K132" s="70"/>
      <c r="L132" s="70"/>
      <c r="M132" s="74"/>
      <c r="N132" s="74"/>
      <c r="O132" s="70">
        <f t="shared" ref="O132:O134" si="28">J132+L132+N132</f>
        <v>0</v>
      </c>
    </row>
    <row r="133" spans="1:15">
      <c r="A133" s="9"/>
      <c r="B133" s="25">
        <v>125</v>
      </c>
      <c r="C133" s="19"/>
      <c r="D133" s="75" t="s">
        <v>31</v>
      </c>
      <c r="E133" s="76"/>
      <c r="F133" s="78" t="s">
        <v>4</v>
      </c>
      <c r="G133" s="70">
        <f>0.22</f>
        <v>0.22</v>
      </c>
      <c r="H133" s="70">
        <v>0.44</v>
      </c>
      <c r="I133" s="74"/>
      <c r="J133" s="74"/>
      <c r="K133" s="70"/>
      <c r="L133" s="74"/>
      <c r="M133" s="74"/>
      <c r="N133" s="74"/>
      <c r="O133" s="70">
        <f t="shared" si="28"/>
        <v>0</v>
      </c>
    </row>
    <row r="134" spans="1:15">
      <c r="A134" s="9"/>
      <c r="B134" s="25">
        <v>126</v>
      </c>
      <c r="C134" s="19"/>
      <c r="D134" s="75" t="s">
        <v>19</v>
      </c>
      <c r="E134" s="76"/>
      <c r="F134" s="78" t="s">
        <v>4</v>
      </c>
      <c r="G134" s="70">
        <f>0.31</f>
        <v>0.31</v>
      </c>
      <c r="H134" s="70">
        <v>0.62</v>
      </c>
      <c r="I134" s="74"/>
      <c r="J134" s="74"/>
      <c r="K134" s="70"/>
      <c r="L134" s="70"/>
      <c r="M134" s="74"/>
      <c r="N134" s="74"/>
      <c r="O134" s="70">
        <f t="shared" si="28"/>
        <v>0</v>
      </c>
    </row>
    <row r="135" spans="1:15" ht="19.5" customHeight="1">
      <c r="A135" s="9"/>
      <c r="B135" s="25">
        <v>127</v>
      </c>
      <c r="C135" s="18" t="s">
        <v>79</v>
      </c>
      <c r="D135" s="152" t="s">
        <v>70</v>
      </c>
      <c r="E135" s="153"/>
      <c r="F135" s="32" t="s">
        <v>6</v>
      </c>
      <c r="G135" s="35"/>
      <c r="H135" s="36">
        <v>12</v>
      </c>
      <c r="I135" s="35"/>
      <c r="J135" s="35"/>
      <c r="K135" s="2"/>
      <c r="L135" s="2"/>
      <c r="M135" s="35"/>
      <c r="N135" s="35"/>
      <c r="O135" s="2"/>
    </row>
    <row r="136" spans="1:15" ht="19.5" customHeight="1">
      <c r="A136" s="9"/>
      <c r="B136" s="25">
        <v>128</v>
      </c>
      <c r="C136" s="14"/>
      <c r="D136" s="27" t="s">
        <v>30</v>
      </c>
      <c r="E136" s="66"/>
      <c r="F136" s="1" t="s">
        <v>1</v>
      </c>
      <c r="G136" s="2">
        <v>1</v>
      </c>
      <c r="H136" s="2">
        <v>12</v>
      </c>
      <c r="I136" s="35"/>
      <c r="J136" s="35"/>
      <c r="K136" s="2"/>
      <c r="L136" s="2"/>
      <c r="M136" s="35"/>
      <c r="N136" s="35"/>
      <c r="O136" s="2">
        <f>L136+J136+N136</f>
        <v>0</v>
      </c>
    </row>
    <row r="137" spans="1:15" ht="19.5" customHeight="1">
      <c r="A137" s="9"/>
      <c r="B137" s="25">
        <v>129</v>
      </c>
      <c r="C137" s="14"/>
      <c r="D137" s="27" t="s">
        <v>31</v>
      </c>
      <c r="E137" s="66"/>
      <c r="F137" s="3" t="s">
        <v>4</v>
      </c>
      <c r="G137" s="2">
        <v>0.34</v>
      </c>
      <c r="H137" s="2">
        <v>4.08</v>
      </c>
      <c r="I137" s="35"/>
      <c r="J137" s="35"/>
      <c r="K137" s="2"/>
      <c r="L137" s="2"/>
      <c r="M137" s="35"/>
      <c r="N137" s="35"/>
      <c r="O137" s="2">
        <f t="shared" ref="O137:O138" si="29">L137+J137+N137</f>
        <v>0</v>
      </c>
    </row>
    <row r="138" spans="1:15" ht="19.5" customHeight="1">
      <c r="A138" s="9"/>
      <c r="B138" s="25">
        <v>130</v>
      </c>
      <c r="C138" s="14"/>
      <c r="D138" s="27" t="s">
        <v>19</v>
      </c>
      <c r="E138" s="66"/>
      <c r="F138" s="3" t="s">
        <v>4</v>
      </c>
      <c r="G138" s="2">
        <v>0.05</v>
      </c>
      <c r="H138" s="2">
        <v>0.60000000000000009</v>
      </c>
      <c r="I138" s="35"/>
      <c r="J138" s="35"/>
      <c r="K138" s="2"/>
      <c r="L138" s="2"/>
      <c r="M138" s="35"/>
      <c r="N138" s="35"/>
      <c r="O138" s="2">
        <f t="shared" si="29"/>
        <v>0</v>
      </c>
    </row>
    <row r="139" spans="1:15" ht="19.5" customHeight="1">
      <c r="A139" s="9"/>
      <c r="B139" s="25">
        <v>131</v>
      </c>
      <c r="C139" s="18" t="s">
        <v>164</v>
      </c>
      <c r="D139" s="152" t="s">
        <v>163</v>
      </c>
      <c r="E139" s="153"/>
      <c r="F139" s="32" t="s">
        <v>6</v>
      </c>
      <c r="G139" s="35"/>
      <c r="H139" s="36">
        <v>2</v>
      </c>
      <c r="I139" s="35"/>
      <c r="J139" s="35"/>
      <c r="K139" s="2"/>
      <c r="L139" s="2"/>
      <c r="M139" s="35"/>
      <c r="N139" s="35"/>
      <c r="O139" s="2"/>
    </row>
    <row r="140" spans="1:15" ht="19.5" customHeight="1">
      <c r="A140" s="9"/>
      <c r="B140" s="25">
        <v>132</v>
      </c>
      <c r="C140" s="14"/>
      <c r="D140" s="27" t="s">
        <v>30</v>
      </c>
      <c r="E140" s="66"/>
      <c r="F140" s="1" t="s">
        <v>1</v>
      </c>
      <c r="G140" s="2">
        <v>3</v>
      </c>
      <c r="H140" s="2">
        <v>6</v>
      </c>
      <c r="I140" s="35"/>
      <c r="J140" s="35"/>
      <c r="K140" s="2"/>
      <c r="L140" s="2"/>
      <c r="M140" s="35"/>
      <c r="N140" s="35"/>
      <c r="O140" s="2">
        <f>L140+J140+N140</f>
        <v>0</v>
      </c>
    </row>
    <row r="141" spans="1:15" ht="19.5" customHeight="1">
      <c r="A141" s="9"/>
      <c r="B141" s="25">
        <v>133</v>
      </c>
      <c r="C141" s="14"/>
      <c r="D141" s="27" t="s">
        <v>31</v>
      </c>
      <c r="E141" s="66"/>
      <c r="F141" s="3" t="s">
        <v>4</v>
      </c>
      <c r="G141" s="2">
        <v>1.88</v>
      </c>
      <c r="H141" s="2">
        <v>3.76</v>
      </c>
      <c r="I141" s="35"/>
      <c r="J141" s="35"/>
      <c r="K141" s="2"/>
      <c r="L141" s="2"/>
      <c r="M141" s="35"/>
      <c r="N141" s="35"/>
      <c r="O141" s="2">
        <f t="shared" ref="O141:O142" si="30">L141+J141+N141</f>
        <v>0</v>
      </c>
    </row>
    <row r="142" spans="1:15" ht="19.5" customHeight="1">
      <c r="A142" s="9"/>
      <c r="B142" s="25">
        <v>134</v>
      </c>
      <c r="C142" s="14"/>
      <c r="D142" s="27" t="s">
        <v>19</v>
      </c>
      <c r="E142" s="66"/>
      <c r="F142" s="3" t="s">
        <v>4</v>
      </c>
      <c r="G142" s="2">
        <v>0.08</v>
      </c>
      <c r="H142" s="2">
        <v>0.16</v>
      </c>
      <c r="I142" s="35"/>
      <c r="J142" s="35"/>
      <c r="K142" s="2"/>
      <c r="L142" s="2"/>
      <c r="M142" s="35"/>
      <c r="N142" s="35"/>
      <c r="O142" s="2">
        <f t="shared" si="30"/>
        <v>0</v>
      </c>
    </row>
    <row r="143" spans="1:15">
      <c r="A143" s="9"/>
      <c r="B143" s="25">
        <v>135</v>
      </c>
      <c r="C143" s="19" t="s">
        <v>143</v>
      </c>
      <c r="D143" s="161" t="s">
        <v>155</v>
      </c>
      <c r="E143" s="162"/>
      <c r="F143" s="80" t="s">
        <v>6</v>
      </c>
      <c r="G143" s="74"/>
      <c r="H143" s="36">
        <v>7</v>
      </c>
      <c r="I143" s="74"/>
      <c r="J143" s="74"/>
      <c r="K143" s="70"/>
      <c r="L143" s="70"/>
      <c r="M143" s="74"/>
      <c r="N143" s="74"/>
      <c r="O143" s="70"/>
    </row>
    <row r="144" spans="1:15">
      <c r="A144" s="9"/>
      <c r="B144" s="25">
        <v>136</v>
      </c>
      <c r="C144" s="19"/>
      <c r="D144" s="75" t="s">
        <v>30</v>
      </c>
      <c r="E144" s="76"/>
      <c r="F144" s="77" t="s">
        <v>1</v>
      </c>
      <c r="G144" s="74">
        <f>12</f>
        <v>12</v>
      </c>
      <c r="H144" s="70">
        <v>84</v>
      </c>
      <c r="I144" s="86"/>
      <c r="J144" s="74"/>
      <c r="K144" s="70"/>
      <c r="L144" s="70"/>
      <c r="M144" s="74"/>
      <c r="N144" s="74"/>
      <c r="O144" s="70">
        <f t="shared" ref="O144:O146" si="31">J144+L144+N144</f>
        <v>0</v>
      </c>
    </row>
    <row r="145" spans="1:15">
      <c r="A145" s="9"/>
      <c r="B145" s="25">
        <v>137</v>
      </c>
      <c r="C145" s="19"/>
      <c r="D145" s="75" t="s">
        <v>31</v>
      </c>
      <c r="E145" s="76"/>
      <c r="F145" s="78" t="s">
        <v>4</v>
      </c>
      <c r="G145" s="70">
        <f>0.39</f>
        <v>0.39</v>
      </c>
      <c r="H145" s="70">
        <v>2.73</v>
      </c>
      <c r="I145" s="74"/>
      <c r="J145" s="74"/>
      <c r="K145" s="70"/>
      <c r="L145" s="74"/>
      <c r="M145" s="74"/>
      <c r="N145" s="74"/>
      <c r="O145" s="70">
        <f t="shared" si="31"/>
        <v>0</v>
      </c>
    </row>
    <row r="146" spans="1:15">
      <c r="A146" s="9"/>
      <c r="B146" s="25">
        <v>138</v>
      </c>
      <c r="C146" s="19"/>
      <c r="D146" s="75" t="s">
        <v>19</v>
      </c>
      <c r="E146" s="76"/>
      <c r="F146" s="78" t="s">
        <v>4</v>
      </c>
      <c r="G146" s="70">
        <f>4.5</f>
        <v>4.5</v>
      </c>
      <c r="H146" s="70">
        <v>31.5</v>
      </c>
      <c r="I146" s="74"/>
      <c r="J146" s="74"/>
      <c r="K146" s="70"/>
      <c r="L146" s="70"/>
      <c r="M146" s="74"/>
      <c r="N146" s="74"/>
      <c r="O146" s="70">
        <f t="shared" si="31"/>
        <v>0</v>
      </c>
    </row>
    <row r="147" spans="1:15">
      <c r="A147" s="9"/>
      <c r="B147" s="25">
        <v>139</v>
      </c>
      <c r="C147" s="19" t="s">
        <v>123</v>
      </c>
      <c r="D147" s="161" t="s">
        <v>150</v>
      </c>
      <c r="E147" s="162"/>
      <c r="F147" s="80" t="s">
        <v>6</v>
      </c>
      <c r="G147" s="74"/>
      <c r="H147" s="36">
        <v>21</v>
      </c>
      <c r="I147" s="74"/>
      <c r="J147" s="74"/>
      <c r="K147" s="70"/>
      <c r="L147" s="70"/>
      <c r="M147" s="74"/>
      <c r="N147" s="74"/>
      <c r="O147" s="70"/>
    </row>
    <row r="148" spans="1:15">
      <c r="A148" s="9"/>
      <c r="B148" s="25">
        <v>140</v>
      </c>
      <c r="C148" s="19"/>
      <c r="D148" s="75" t="s">
        <v>30</v>
      </c>
      <c r="E148" s="81"/>
      <c r="F148" s="77" t="s">
        <v>1</v>
      </c>
      <c r="G148" s="70">
        <f>1</f>
        <v>1</v>
      </c>
      <c r="H148" s="70">
        <v>21</v>
      </c>
      <c r="I148" s="86"/>
      <c r="J148" s="74"/>
      <c r="K148" s="70"/>
      <c r="L148" s="70"/>
      <c r="M148" s="74"/>
      <c r="N148" s="74"/>
      <c r="O148" s="70">
        <f t="shared" ref="O148:O150" si="32">J148+L148+N148</f>
        <v>0</v>
      </c>
    </row>
    <row r="149" spans="1:15">
      <c r="A149" s="9"/>
      <c r="B149" s="25">
        <v>141</v>
      </c>
      <c r="C149" s="19"/>
      <c r="D149" s="75" t="s">
        <v>31</v>
      </c>
      <c r="E149" s="81"/>
      <c r="F149" s="78" t="s">
        <v>4</v>
      </c>
      <c r="G149" s="70">
        <f>0.02</f>
        <v>0.02</v>
      </c>
      <c r="H149" s="70">
        <v>0.42</v>
      </c>
      <c r="I149" s="74"/>
      <c r="J149" s="74"/>
      <c r="K149" s="70"/>
      <c r="L149" s="74"/>
      <c r="M149" s="74"/>
      <c r="N149" s="74"/>
      <c r="O149" s="70">
        <f t="shared" si="32"/>
        <v>0</v>
      </c>
    </row>
    <row r="150" spans="1:15">
      <c r="A150" s="9"/>
      <c r="B150" s="25">
        <v>142</v>
      </c>
      <c r="C150" s="19"/>
      <c r="D150" s="75" t="s">
        <v>19</v>
      </c>
      <c r="E150" s="81"/>
      <c r="F150" s="78" t="s">
        <v>4</v>
      </c>
      <c r="G150" s="70">
        <f>0.01</f>
        <v>0.01</v>
      </c>
      <c r="H150" s="70">
        <v>0.21</v>
      </c>
      <c r="I150" s="74"/>
      <c r="J150" s="74"/>
      <c r="K150" s="70"/>
      <c r="L150" s="70"/>
      <c r="M150" s="74"/>
      <c r="N150" s="74"/>
      <c r="O150" s="70">
        <f t="shared" si="32"/>
        <v>0</v>
      </c>
    </row>
    <row r="151" spans="1:15">
      <c r="A151" s="9"/>
      <c r="B151" s="25">
        <v>143</v>
      </c>
      <c r="C151" s="19" t="s">
        <v>147</v>
      </c>
      <c r="D151" s="64" t="s">
        <v>146</v>
      </c>
      <c r="E151" s="65"/>
      <c r="F151" s="80" t="s">
        <v>124</v>
      </c>
      <c r="G151" s="73"/>
      <c r="H151" s="36">
        <v>70</v>
      </c>
      <c r="I151" s="74"/>
      <c r="J151" s="74"/>
      <c r="K151" s="70"/>
      <c r="L151" s="70"/>
      <c r="M151" s="74"/>
      <c r="N151" s="74"/>
      <c r="O151" s="70"/>
    </row>
    <row r="152" spans="1:15">
      <c r="A152" s="9"/>
      <c r="B152" s="25">
        <v>144</v>
      </c>
      <c r="C152" s="19"/>
      <c r="D152" s="75" t="s">
        <v>30</v>
      </c>
      <c r="E152" s="76"/>
      <c r="F152" s="77" t="s">
        <v>1</v>
      </c>
      <c r="G152" s="70">
        <f>0.71</f>
        <v>0.71</v>
      </c>
      <c r="H152" s="70">
        <v>49.699999999999996</v>
      </c>
      <c r="I152" s="86"/>
      <c r="J152" s="74"/>
      <c r="K152" s="70"/>
      <c r="L152" s="70"/>
      <c r="M152" s="74"/>
      <c r="N152" s="74"/>
      <c r="O152" s="70">
        <f t="shared" ref="O152:O153" si="33">J152+L152+N152</f>
        <v>0</v>
      </c>
    </row>
    <row r="153" spans="1:15">
      <c r="A153" s="9"/>
      <c r="B153" s="25">
        <v>145</v>
      </c>
      <c r="C153" s="19"/>
      <c r="D153" s="75" t="s">
        <v>19</v>
      </c>
      <c r="E153" s="76"/>
      <c r="F153" s="78" t="s">
        <v>4</v>
      </c>
      <c r="G153" s="70">
        <f>0.87</f>
        <v>0.87</v>
      </c>
      <c r="H153" s="70">
        <v>43.238999999999997</v>
      </c>
      <c r="I153" s="74"/>
      <c r="J153" s="74"/>
      <c r="K153" s="70"/>
      <c r="L153" s="70"/>
      <c r="M153" s="74"/>
      <c r="N153" s="74"/>
      <c r="O153" s="70">
        <f t="shared" si="33"/>
        <v>0</v>
      </c>
    </row>
    <row r="154" spans="1:15" ht="25.5">
      <c r="A154" s="9"/>
      <c r="B154" s="25">
        <v>146</v>
      </c>
      <c r="C154" s="19" t="s">
        <v>68</v>
      </c>
      <c r="D154" s="161" t="s">
        <v>121</v>
      </c>
      <c r="E154" s="162"/>
      <c r="F154" s="80" t="s">
        <v>69</v>
      </c>
      <c r="G154" s="74"/>
      <c r="H154" s="36">
        <v>18</v>
      </c>
      <c r="I154" s="74"/>
      <c r="J154" s="74"/>
      <c r="K154" s="70"/>
      <c r="L154" s="70"/>
      <c r="M154" s="74"/>
      <c r="N154" s="74"/>
      <c r="O154" s="70"/>
    </row>
    <row r="155" spans="1:15">
      <c r="A155" s="9"/>
      <c r="B155" s="25">
        <v>147</v>
      </c>
      <c r="C155" s="19"/>
      <c r="D155" s="75" t="s">
        <v>30</v>
      </c>
      <c r="E155" s="81"/>
      <c r="F155" s="77" t="s">
        <v>1</v>
      </c>
      <c r="G155" s="70">
        <v>4</v>
      </c>
      <c r="H155" s="70">
        <v>4</v>
      </c>
      <c r="I155" s="86"/>
      <c r="J155" s="74"/>
      <c r="K155" s="70"/>
      <c r="L155" s="70"/>
      <c r="M155" s="74"/>
      <c r="N155" s="74"/>
      <c r="O155" s="70">
        <f t="shared" ref="O155:O157" si="34">J155+L155+N155</f>
        <v>0</v>
      </c>
    </row>
    <row r="156" spans="1:15">
      <c r="A156" s="9"/>
      <c r="B156" s="25">
        <v>148</v>
      </c>
      <c r="C156" s="19"/>
      <c r="D156" s="75" t="s">
        <v>31</v>
      </c>
      <c r="E156" s="81"/>
      <c r="F156" s="78" t="s">
        <v>4</v>
      </c>
      <c r="G156" s="70">
        <v>0.4</v>
      </c>
      <c r="H156" s="70">
        <v>0.4</v>
      </c>
      <c r="I156" s="74"/>
      <c r="J156" s="74"/>
      <c r="K156" s="70"/>
      <c r="L156" s="74"/>
      <c r="M156" s="74"/>
      <c r="N156" s="74"/>
      <c r="O156" s="70">
        <f t="shared" si="34"/>
        <v>0</v>
      </c>
    </row>
    <row r="157" spans="1:15">
      <c r="A157" s="9"/>
      <c r="B157" s="25">
        <v>149</v>
      </c>
      <c r="C157" s="19"/>
      <c r="D157" s="75" t="s">
        <v>19</v>
      </c>
      <c r="E157" s="81"/>
      <c r="F157" s="78" t="s">
        <v>4</v>
      </c>
      <c r="G157" s="70">
        <v>0.28000000000000003</v>
      </c>
      <c r="H157" s="70">
        <v>0.28000000000000003</v>
      </c>
      <c r="I157" s="74"/>
      <c r="J157" s="74"/>
      <c r="K157" s="70"/>
      <c r="L157" s="70"/>
      <c r="M157" s="74"/>
      <c r="N157" s="74"/>
      <c r="O157" s="70">
        <f t="shared" si="34"/>
        <v>0</v>
      </c>
    </row>
    <row r="158" spans="1:15" ht="19.5" customHeight="1">
      <c r="A158" s="9"/>
      <c r="B158" s="25">
        <v>150</v>
      </c>
      <c r="C158" s="18" t="s">
        <v>78</v>
      </c>
      <c r="D158" s="152" t="s">
        <v>148</v>
      </c>
      <c r="E158" s="153"/>
      <c r="F158" s="32" t="s">
        <v>6</v>
      </c>
      <c r="G158" s="5"/>
      <c r="H158" s="36">
        <v>8</v>
      </c>
      <c r="I158" s="5"/>
      <c r="J158" s="5"/>
      <c r="K158" s="2"/>
      <c r="L158" s="2"/>
      <c r="M158" s="5"/>
      <c r="N158" s="5"/>
      <c r="O158" s="2"/>
    </row>
    <row r="159" spans="1:15">
      <c r="A159" s="9"/>
      <c r="B159" s="25">
        <v>151</v>
      </c>
      <c r="C159" s="14"/>
      <c r="D159" s="27" t="s">
        <v>30</v>
      </c>
      <c r="E159" s="66"/>
      <c r="F159" s="1" t="s">
        <v>1</v>
      </c>
      <c r="G159" s="2">
        <v>2</v>
      </c>
      <c r="H159" s="2">
        <v>16</v>
      </c>
      <c r="I159" s="86"/>
      <c r="J159" s="5"/>
      <c r="K159" s="2"/>
      <c r="L159" s="2"/>
      <c r="M159" s="5"/>
      <c r="N159" s="5"/>
      <c r="O159" s="2">
        <f>L159+J159+N159</f>
        <v>0</v>
      </c>
    </row>
    <row r="160" spans="1:15">
      <c r="A160" s="9"/>
      <c r="B160" s="25">
        <v>152</v>
      </c>
      <c r="C160" s="14"/>
      <c r="D160" s="27" t="s">
        <v>31</v>
      </c>
      <c r="E160" s="66"/>
      <c r="F160" s="3" t="s">
        <v>4</v>
      </c>
      <c r="G160" s="2">
        <v>0.33</v>
      </c>
      <c r="H160" s="2">
        <v>2.64</v>
      </c>
      <c r="I160" s="5"/>
      <c r="J160" s="5"/>
      <c r="K160" s="2"/>
      <c r="L160" s="2"/>
      <c r="M160" s="5"/>
      <c r="N160" s="5"/>
      <c r="O160" s="2">
        <f t="shared" ref="O160:O161" si="35">L160+J160+N160</f>
        <v>0</v>
      </c>
    </row>
    <row r="161" spans="1:15">
      <c r="A161" s="9"/>
      <c r="B161" s="25">
        <v>153</v>
      </c>
      <c r="C161" s="14"/>
      <c r="D161" s="27" t="s">
        <v>19</v>
      </c>
      <c r="E161" s="66"/>
      <c r="F161" s="3" t="s">
        <v>4</v>
      </c>
      <c r="G161" s="2">
        <v>0.06</v>
      </c>
      <c r="H161" s="2">
        <v>0.48</v>
      </c>
      <c r="I161" s="5"/>
      <c r="J161" s="5"/>
      <c r="K161" s="2"/>
      <c r="L161" s="2"/>
      <c r="M161" s="5"/>
      <c r="N161" s="5"/>
      <c r="O161" s="2">
        <f t="shared" si="35"/>
        <v>0</v>
      </c>
    </row>
    <row r="162" spans="1:15" ht="27" customHeight="1">
      <c r="A162" s="9"/>
      <c r="B162" s="25">
        <v>154</v>
      </c>
      <c r="C162" s="19" t="s">
        <v>71</v>
      </c>
      <c r="D162" s="161" t="s">
        <v>149</v>
      </c>
      <c r="E162" s="162"/>
      <c r="F162" s="80" t="s">
        <v>6</v>
      </c>
      <c r="G162" s="74"/>
      <c r="H162" s="36">
        <v>10</v>
      </c>
      <c r="I162" s="74"/>
      <c r="J162" s="74"/>
      <c r="K162" s="70"/>
      <c r="L162" s="70"/>
      <c r="M162" s="74"/>
      <c r="N162" s="74"/>
      <c r="O162" s="70"/>
    </row>
    <row r="163" spans="1:15">
      <c r="A163" s="9"/>
      <c r="B163" s="25">
        <v>155</v>
      </c>
      <c r="C163" s="19"/>
      <c r="D163" s="75" t="s">
        <v>30</v>
      </c>
      <c r="E163" s="81"/>
      <c r="F163" s="77" t="s">
        <v>1</v>
      </c>
      <c r="G163" s="70">
        <v>1</v>
      </c>
      <c r="H163" s="70">
        <v>10</v>
      </c>
      <c r="I163" s="86"/>
      <c r="J163" s="74"/>
      <c r="K163" s="70"/>
      <c r="L163" s="70"/>
      <c r="M163" s="74"/>
      <c r="N163" s="74"/>
      <c r="O163" s="70">
        <f t="shared" ref="O163:O165" si="36">J163+L163+N163</f>
        <v>0</v>
      </c>
    </row>
    <row r="164" spans="1:15">
      <c r="A164" s="9"/>
      <c r="B164" s="25">
        <v>156</v>
      </c>
      <c r="C164" s="19"/>
      <c r="D164" s="75" t="s">
        <v>31</v>
      </c>
      <c r="E164" s="81"/>
      <c r="F164" s="78" t="s">
        <v>4</v>
      </c>
      <c r="G164" s="70">
        <v>0.26</v>
      </c>
      <c r="H164" s="70">
        <v>2.6</v>
      </c>
      <c r="I164" s="74"/>
      <c r="J164" s="74"/>
      <c r="K164" s="70"/>
      <c r="L164" s="74"/>
      <c r="M164" s="74"/>
      <c r="N164" s="74"/>
      <c r="O164" s="70">
        <f t="shared" si="36"/>
        <v>0</v>
      </c>
    </row>
    <row r="165" spans="1:15">
      <c r="A165" s="9"/>
      <c r="B165" s="25">
        <v>157</v>
      </c>
      <c r="C165" s="19"/>
      <c r="D165" s="75" t="s">
        <v>19</v>
      </c>
      <c r="E165" s="81"/>
      <c r="F165" s="78" t="s">
        <v>4</v>
      </c>
      <c r="G165" s="70">
        <v>0.16</v>
      </c>
      <c r="H165" s="70">
        <v>1.6</v>
      </c>
      <c r="I165" s="74"/>
      <c r="J165" s="74"/>
      <c r="K165" s="70"/>
      <c r="L165" s="70"/>
      <c r="M165" s="74"/>
      <c r="N165" s="74"/>
      <c r="O165" s="70">
        <f t="shared" si="36"/>
        <v>0</v>
      </c>
    </row>
    <row r="166" spans="1:15" ht="19.5" customHeight="1">
      <c r="A166" s="9"/>
      <c r="B166" s="25">
        <v>158</v>
      </c>
      <c r="C166" s="19" t="s">
        <v>72</v>
      </c>
      <c r="D166" s="161" t="s">
        <v>156</v>
      </c>
      <c r="E166" s="162"/>
      <c r="F166" s="80" t="s">
        <v>6</v>
      </c>
      <c r="G166" s="74"/>
      <c r="H166" s="36">
        <v>2</v>
      </c>
      <c r="I166" s="74"/>
      <c r="J166" s="74"/>
      <c r="K166" s="70"/>
      <c r="L166" s="70"/>
      <c r="M166" s="74"/>
      <c r="N166" s="74"/>
      <c r="O166" s="70"/>
    </row>
    <row r="167" spans="1:15">
      <c r="A167" s="9"/>
      <c r="B167" s="25">
        <v>159</v>
      </c>
      <c r="C167" s="19"/>
      <c r="D167" s="75" t="s">
        <v>30</v>
      </c>
      <c r="E167" s="81"/>
      <c r="F167" s="77" t="s">
        <v>1</v>
      </c>
      <c r="G167" s="70">
        <v>0.27</v>
      </c>
      <c r="H167" s="70">
        <v>0.54</v>
      </c>
      <c r="I167" s="86"/>
      <c r="J167" s="74"/>
      <c r="K167" s="70"/>
      <c r="L167" s="70"/>
      <c r="M167" s="74"/>
      <c r="N167" s="74"/>
      <c r="O167" s="70">
        <f t="shared" ref="O167:O169" si="37">J167+L167+N167</f>
        <v>0</v>
      </c>
    </row>
    <row r="168" spans="1:15">
      <c r="A168" s="9"/>
      <c r="B168" s="25">
        <v>160</v>
      </c>
      <c r="C168" s="19"/>
      <c r="D168" s="75" t="s">
        <v>31</v>
      </c>
      <c r="E168" s="81"/>
      <c r="F168" s="78" t="s">
        <v>4</v>
      </c>
      <c r="G168" s="70">
        <v>0.97199999999999998</v>
      </c>
      <c r="H168" s="70">
        <v>1.944</v>
      </c>
      <c r="I168" s="74"/>
      <c r="J168" s="74"/>
      <c r="K168" s="70"/>
      <c r="L168" s="74"/>
      <c r="M168" s="74"/>
      <c r="N168" s="74"/>
      <c r="O168" s="70">
        <f t="shared" si="37"/>
        <v>0</v>
      </c>
    </row>
    <row r="169" spans="1:15">
      <c r="A169" s="9"/>
      <c r="B169" s="25">
        <v>161</v>
      </c>
      <c r="C169" s="19"/>
      <c r="D169" s="75" t="s">
        <v>19</v>
      </c>
      <c r="E169" s="81"/>
      <c r="F169" s="78" t="s">
        <v>4</v>
      </c>
      <c r="G169" s="70">
        <v>8.8000000000000005E-3</v>
      </c>
      <c r="H169" s="70">
        <v>1.7600000000000001E-2</v>
      </c>
      <c r="I169" s="74"/>
      <c r="J169" s="74"/>
      <c r="K169" s="70"/>
      <c r="L169" s="70"/>
      <c r="M169" s="74"/>
      <c r="N169" s="74"/>
      <c r="O169" s="70">
        <f t="shared" si="37"/>
        <v>0</v>
      </c>
    </row>
    <row r="170" spans="1:15" ht="19.5" customHeight="1">
      <c r="A170" s="9"/>
      <c r="B170" s="25">
        <v>162</v>
      </c>
      <c r="C170" s="19" t="s">
        <v>74</v>
      </c>
      <c r="D170" s="161" t="s">
        <v>73</v>
      </c>
      <c r="E170" s="162"/>
      <c r="F170" s="80" t="s">
        <v>5</v>
      </c>
      <c r="G170" s="74"/>
      <c r="H170" s="36">
        <v>30</v>
      </c>
      <c r="I170" s="74"/>
      <c r="J170" s="74"/>
      <c r="K170" s="70"/>
      <c r="L170" s="70"/>
      <c r="M170" s="74"/>
      <c r="N170" s="74"/>
      <c r="O170" s="70"/>
    </row>
    <row r="171" spans="1:15">
      <c r="A171" s="9"/>
      <c r="B171" s="25">
        <v>163</v>
      </c>
      <c r="C171" s="19"/>
      <c r="D171" s="75" t="s">
        <v>30</v>
      </c>
      <c r="E171" s="81"/>
      <c r="F171" s="77" t="s">
        <v>1</v>
      </c>
      <c r="G171" s="70">
        <v>0.16</v>
      </c>
      <c r="H171" s="70">
        <v>4.8</v>
      </c>
      <c r="I171" s="86"/>
      <c r="J171" s="74"/>
      <c r="K171" s="70"/>
      <c r="L171" s="70"/>
      <c r="M171" s="74"/>
      <c r="N171" s="74"/>
      <c r="O171" s="70">
        <f t="shared" ref="O171:O173" si="38">J171+L171+N171</f>
        <v>0</v>
      </c>
    </row>
    <row r="172" spans="1:15">
      <c r="A172" s="9"/>
      <c r="B172" s="25">
        <v>164</v>
      </c>
      <c r="C172" s="19"/>
      <c r="D172" s="75" t="s">
        <v>31</v>
      </c>
      <c r="E172" s="81"/>
      <c r="F172" s="78" t="s">
        <v>4</v>
      </c>
      <c r="G172" s="70">
        <v>0.20599999999999999</v>
      </c>
      <c r="H172" s="70">
        <v>6.18</v>
      </c>
      <c r="I172" s="74"/>
      <c r="J172" s="74"/>
      <c r="K172" s="70"/>
      <c r="L172" s="74"/>
      <c r="M172" s="74"/>
      <c r="N172" s="74"/>
      <c r="O172" s="70">
        <f t="shared" si="38"/>
        <v>0</v>
      </c>
    </row>
    <row r="173" spans="1:15">
      <c r="A173" s="9"/>
      <c r="B173" s="25">
        <v>165</v>
      </c>
      <c r="C173" s="19"/>
      <c r="D173" s="75" t="s">
        <v>19</v>
      </c>
      <c r="E173" s="81"/>
      <c r="F173" s="78" t="s">
        <v>4</v>
      </c>
      <c r="G173" s="70">
        <v>1.6000000000000001E-3</v>
      </c>
      <c r="H173" s="70">
        <v>4.8000000000000001E-2</v>
      </c>
      <c r="I173" s="74"/>
      <c r="J173" s="74"/>
      <c r="K173" s="70"/>
      <c r="L173" s="70"/>
      <c r="M173" s="74"/>
      <c r="N173" s="74"/>
      <c r="O173" s="70">
        <f t="shared" si="38"/>
        <v>0</v>
      </c>
    </row>
    <row r="174" spans="1:15">
      <c r="A174" s="9"/>
      <c r="B174" s="25">
        <v>166</v>
      </c>
      <c r="C174" s="19" t="s">
        <v>170</v>
      </c>
      <c r="D174" s="161" t="s">
        <v>171</v>
      </c>
      <c r="E174" s="162"/>
      <c r="F174" s="80" t="s">
        <v>5</v>
      </c>
      <c r="G174" s="74"/>
      <c r="H174" s="98">
        <v>1</v>
      </c>
      <c r="I174" s="74"/>
      <c r="J174" s="74"/>
      <c r="K174" s="70"/>
      <c r="L174" s="70"/>
      <c r="M174" s="74"/>
      <c r="N174" s="74"/>
      <c r="O174" s="70"/>
    </row>
    <row r="175" spans="1:15">
      <c r="A175" s="9"/>
      <c r="B175" s="25">
        <v>167</v>
      </c>
      <c r="C175" s="19"/>
      <c r="D175" s="75" t="s">
        <v>30</v>
      </c>
      <c r="E175" s="81"/>
      <c r="F175" s="77" t="s">
        <v>1</v>
      </c>
      <c r="G175" s="70">
        <v>18</v>
      </c>
      <c r="H175" s="70">
        <v>18</v>
      </c>
      <c r="I175" s="86"/>
      <c r="J175" s="74"/>
      <c r="K175" s="70"/>
      <c r="L175" s="70"/>
      <c r="M175" s="74"/>
      <c r="N175" s="74"/>
      <c r="O175" s="70">
        <f t="shared" ref="O175:O177" si="39">J175+L175+N175</f>
        <v>0</v>
      </c>
    </row>
    <row r="176" spans="1:15">
      <c r="A176" s="9"/>
      <c r="B176" s="25">
        <v>168</v>
      </c>
      <c r="C176" s="19"/>
      <c r="D176" s="75" t="s">
        <v>31</v>
      </c>
      <c r="E176" s="81"/>
      <c r="F176" s="78" t="s">
        <v>4</v>
      </c>
      <c r="G176" s="70">
        <v>8.4700000000000006</v>
      </c>
      <c r="H176" s="70">
        <v>8.4700000000000006</v>
      </c>
      <c r="I176" s="74"/>
      <c r="J176" s="74"/>
      <c r="K176" s="70"/>
      <c r="L176" s="74"/>
      <c r="M176" s="74"/>
      <c r="N176" s="74"/>
      <c r="O176" s="70">
        <f t="shared" si="39"/>
        <v>0</v>
      </c>
    </row>
    <row r="177" spans="1:15">
      <c r="A177" s="9"/>
      <c r="B177" s="25">
        <v>169</v>
      </c>
      <c r="C177" s="19"/>
      <c r="D177" s="75" t="s">
        <v>19</v>
      </c>
      <c r="E177" s="81"/>
      <c r="F177" s="78" t="s">
        <v>4</v>
      </c>
      <c r="G177" s="70">
        <v>0.32</v>
      </c>
      <c r="H177" s="70">
        <v>0.32</v>
      </c>
      <c r="I177" s="74"/>
      <c r="J177" s="74"/>
      <c r="K177" s="70"/>
      <c r="L177" s="70"/>
      <c r="M177" s="74"/>
      <c r="N177" s="74"/>
      <c r="O177" s="70">
        <f t="shared" si="39"/>
        <v>0</v>
      </c>
    </row>
    <row r="178" spans="1:15">
      <c r="A178" s="9"/>
      <c r="B178" s="25">
        <v>170</v>
      </c>
      <c r="C178" s="19" t="s">
        <v>123</v>
      </c>
      <c r="D178" s="161" t="s">
        <v>150</v>
      </c>
      <c r="E178" s="162"/>
      <c r="F178" s="80" t="s">
        <v>6</v>
      </c>
      <c r="G178" s="74"/>
      <c r="H178" s="98">
        <v>21</v>
      </c>
      <c r="I178" s="74"/>
      <c r="J178" s="74"/>
      <c r="K178" s="70"/>
      <c r="L178" s="70"/>
      <c r="M178" s="74"/>
      <c r="N178" s="74"/>
      <c r="O178" s="70"/>
    </row>
    <row r="179" spans="1:15">
      <c r="A179" s="9"/>
      <c r="B179" s="25">
        <v>171</v>
      </c>
      <c r="C179" s="19"/>
      <c r="D179" s="75" t="s">
        <v>30</v>
      </c>
      <c r="E179" s="81"/>
      <c r="F179" s="77" t="s">
        <v>1</v>
      </c>
      <c r="G179" s="70">
        <f>1</f>
        <v>1</v>
      </c>
      <c r="H179" s="70">
        <v>21</v>
      </c>
      <c r="I179" s="86"/>
      <c r="J179" s="74"/>
      <c r="K179" s="70"/>
      <c r="L179" s="70"/>
      <c r="M179" s="74"/>
      <c r="N179" s="74"/>
      <c r="O179" s="70">
        <f t="shared" ref="O179:O181" si="40">J179+L179+N179</f>
        <v>0</v>
      </c>
    </row>
    <row r="180" spans="1:15">
      <c r="A180" s="9"/>
      <c r="B180" s="25">
        <v>172</v>
      </c>
      <c r="C180" s="19"/>
      <c r="D180" s="75" t="s">
        <v>31</v>
      </c>
      <c r="E180" s="81"/>
      <c r="F180" s="78" t="s">
        <v>4</v>
      </c>
      <c r="G180" s="70">
        <f>0.02</f>
        <v>0.02</v>
      </c>
      <c r="H180" s="70">
        <v>0.42</v>
      </c>
      <c r="I180" s="74"/>
      <c r="J180" s="74"/>
      <c r="K180" s="70"/>
      <c r="L180" s="74"/>
      <c r="M180" s="74"/>
      <c r="N180" s="74"/>
      <c r="O180" s="70">
        <f t="shared" si="40"/>
        <v>0</v>
      </c>
    </row>
    <row r="181" spans="1:15">
      <c r="A181" s="9"/>
      <c r="B181" s="25">
        <v>173</v>
      </c>
      <c r="C181" s="19"/>
      <c r="D181" s="75" t="s">
        <v>19</v>
      </c>
      <c r="E181" s="81"/>
      <c r="F181" s="78" t="s">
        <v>4</v>
      </c>
      <c r="G181" s="70">
        <f>0.01</f>
        <v>0.01</v>
      </c>
      <c r="H181" s="70">
        <v>0.21</v>
      </c>
      <c r="I181" s="74"/>
      <c r="J181" s="74"/>
      <c r="K181" s="70"/>
      <c r="L181" s="70"/>
      <c r="M181" s="74"/>
      <c r="N181" s="74"/>
      <c r="O181" s="70">
        <f t="shared" si="40"/>
        <v>0</v>
      </c>
    </row>
    <row r="182" spans="1:15">
      <c r="A182" s="9"/>
      <c r="B182" s="25">
        <v>174</v>
      </c>
      <c r="C182" s="19" t="s">
        <v>137</v>
      </c>
      <c r="D182" s="64" t="s">
        <v>138</v>
      </c>
      <c r="E182" s="65"/>
      <c r="F182" s="80" t="s">
        <v>2</v>
      </c>
      <c r="G182" s="73"/>
      <c r="H182" s="98">
        <v>0.5</v>
      </c>
      <c r="I182" s="74"/>
      <c r="J182" s="74"/>
      <c r="K182" s="70"/>
      <c r="L182" s="70"/>
      <c r="M182" s="74"/>
      <c r="N182" s="74"/>
      <c r="O182" s="70"/>
    </row>
    <row r="183" spans="1:15">
      <c r="A183" s="9"/>
      <c r="B183" s="25">
        <v>175</v>
      </c>
      <c r="C183" s="19"/>
      <c r="D183" s="75" t="s">
        <v>30</v>
      </c>
      <c r="E183" s="99"/>
      <c r="F183" s="77" t="s">
        <v>1</v>
      </c>
      <c r="G183" s="70">
        <v>61</v>
      </c>
      <c r="H183" s="70">
        <v>30.5</v>
      </c>
      <c r="I183" s="86"/>
      <c r="J183" s="74"/>
      <c r="K183" s="70"/>
      <c r="L183" s="70"/>
      <c r="M183" s="74"/>
      <c r="N183" s="98"/>
      <c r="O183" s="70">
        <f>J183+L183+N183</f>
        <v>0</v>
      </c>
    </row>
    <row r="184" spans="1:15">
      <c r="A184" s="9"/>
      <c r="B184" s="25">
        <v>176</v>
      </c>
      <c r="C184" s="19"/>
      <c r="D184" s="75" t="s">
        <v>19</v>
      </c>
      <c r="E184" s="99"/>
      <c r="F184" s="78" t="s">
        <v>4</v>
      </c>
      <c r="G184" s="70">
        <v>33.299999999999997</v>
      </c>
      <c r="H184" s="70">
        <v>16.649999999999999</v>
      </c>
      <c r="I184" s="74"/>
      <c r="J184" s="74"/>
      <c r="K184" s="70"/>
      <c r="L184" s="70"/>
      <c r="M184" s="74"/>
      <c r="N184" s="74"/>
      <c r="O184" s="70">
        <f>J184+L184+N184</f>
        <v>0</v>
      </c>
    </row>
    <row r="185" spans="1:15">
      <c r="A185" s="9"/>
      <c r="B185" s="25">
        <v>177</v>
      </c>
      <c r="C185" s="19" t="s">
        <v>62</v>
      </c>
      <c r="D185" s="64" t="s">
        <v>63</v>
      </c>
      <c r="E185" s="65"/>
      <c r="F185" s="80" t="s">
        <v>5</v>
      </c>
      <c r="G185" s="73"/>
      <c r="H185" s="98">
        <v>80</v>
      </c>
      <c r="I185" s="74"/>
      <c r="J185" s="74"/>
      <c r="K185" s="70"/>
      <c r="L185" s="70"/>
      <c r="M185" s="74"/>
      <c r="N185" s="74"/>
      <c r="O185" s="70"/>
    </row>
    <row r="186" spans="1:15">
      <c r="A186" s="9"/>
      <c r="B186" s="25">
        <v>178</v>
      </c>
      <c r="C186" s="19"/>
      <c r="D186" s="75" t="s">
        <v>30</v>
      </c>
      <c r="E186" s="99"/>
      <c r="F186" s="77" t="s">
        <v>1</v>
      </c>
      <c r="G186" s="70">
        <v>0.39</v>
      </c>
      <c r="H186" s="70">
        <v>31.200000000000003</v>
      </c>
      <c r="I186" s="86"/>
      <c r="J186" s="74"/>
      <c r="K186" s="70"/>
      <c r="L186" s="70"/>
      <c r="M186" s="74"/>
      <c r="N186" s="74"/>
      <c r="O186" s="70">
        <f t="shared" ref="O186:O188" si="41">J186+L186+N186</f>
        <v>0</v>
      </c>
    </row>
    <row r="187" spans="1:15">
      <c r="A187" s="9"/>
      <c r="B187" s="25">
        <v>179</v>
      </c>
      <c r="C187" s="19"/>
      <c r="D187" s="75" t="s">
        <v>31</v>
      </c>
      <c r="E187" s="99"/>
      <c r="F187" s="78" t="s">
        <v>4</v>
      </c>
      <c r="G187" s="70">
        <v>0.159</v>
      </c>
      <c r="H187" s="70">
        <v>12.72</v>
      </c>
      <c r="I187" s="74"/>
      <c r="J187" s="74"/>
      <c r="K187" s="70"/>
      <c r="L187" s="74"/>
      <c r="M187" s="74"/>
      <c r="N187" s="74"/>
      <c r="O187" s="70">
        <f t="shared" si="41"/>
        <v>0</v>
      </c>
    </row>
    <row r="188" spans="1:15">
      <c r="A188" s="9"/>
      <c r="B188" s="25">
        <v>180</v>
      </c>
      <c r="C188" s="19"/>
      <c r="D188" s="75" t="s">
        <v>19</v>
      </c>
      <c r="E188" s="99"/>
      <c r="F188" s="78" t="s">
        <v>4</v>
      </c>
      <c r="G188" s="70">
        <v>2.1999999999999999E-2</v>
      </c>
      <c r="H188" s="70">
        <v>1.7599999999999998</v>
      </c>
      <c r="I188" s="74"/>
      <c r="J188" s="74"/>
      <c r="K188" s="70"/>
      <c r="L188" s="70"/>
      <c r="M188" s="74"/>
      <c r="N188" s="74"/>
      <c r="O188" s="70">
        <f t="shared" si="41"/>
        <v>0</v>
      </c>
    </row>
    <row r="189" spans="1:15">
      <c r="A189" s="9"/>
      <c r="B189" s="25">
        <v>181</v>
      </c>
      <c r="C189" s="19" t="s">
        <v>64</v>
      </c>
      <c r="D189" s="64" t="s">
        <v>135</v>
      </c>
      <c r="E189" s="65"/>
      <c r="F189" s="80" t="s">
        <v>6</v>
      </c>
      <c r="G189" s="73"/>
      <c r="H189" s="98">
        <v>15</v>
      </c>
      <c r="I189" s="74"/>
      <c r="J189" s="74"/>
      <c r="K189" s="70"/>
      <c r="L189" s="70"/>
      <c r="M189" s="74"/>
      <c r="N189" s="74"/>
      <c r="O189" s="70"/>
    </row>
    <row r="190" spans="1:15">
      <c r="A190" s="9"/>
      <c r="B190" s="25">
        <v>182</v>
      </c>
      <c r="C190" s="19"/>
      <c r="D190" s="75" t="s">
        <v>30</v>
      </c>
      <c r="E190" s="99"/>
      <c r="F190" s="77" t="s">
        <v>1</v>
      </c>
      <c r="G190" s="70">
        <v>0.6</v>
      </c>
      <c r="H190" s="70">
        <v>9</v>
      </c>
      <c r="I190" s="86"/>
      <c r="J190" s="74"/>
      <c r="K190" s="70"/>
      <c r="L190" s="70"/>
      <c r="M190" s="74"/>
      <c r="N190" s="74"/>
      <c r="O190" s="70">
        <f t="shared" ref="O190:O192" si="42">J190+L190+N190</f>
        <v>0</v>
      </c>
    </row>
    <row r="191" spans="1:15">
      <c r="A191" s="9"/>
      <c r="B191" s="25">
        <v>183</v>
      </c>
      <c r="C191" s="19"/>
      <c r="D191" s="75" t="s">
        <v>31</v>
      </c>
      <c r="E191" s="99"/>
      <c r="F191" s="78" t="s">
        <v>4</v>
      </c>
      <c r="G191" s="70">
        <v>1.08</v>
      </c>
      <c r="H191" s="70">
        <v>16.200000000000003</v>
      </c>
      <c r="I191" s="74"/>
      <c r="J191" s="74"/>
      <c r="K191" s="70"/>
      <c r="L191" s="74"/>
      <c r="M191" s="74"/>
      <c r="N191" s="74"/>
      <c r="O191" s="70">
        <f t="shared" si="42"/>
        <v>0</v>
      </c>
    </row>
    <row r="192" spans="1:15">
      <c r="A192" s="9"/>
      <c r="B192" s="25">
        <v>184</v>
      </c>
      <c r="C192" s="19"/>
      <c r="D192" s="75" t="s">
        <v>19</v>
      </c>
      <c r="E192" s="99"/>
      <c r="F192" s="78" t="s">
        <v>4</v>
      </c>
      <c r="G192" s="70">
        <v>0.05</v>
      </c>
      <c r="H192" s="70">
        <v>0.75</v>
      </c>
      <c r="I192" s="74"/>
      <c r="J192" s="74"/>
      <c r="K192" s="70"/>
      <c r="L192" s="70"/>
      <c r="M192" s="74"/>
      <c r="N192" s="74"/>
      <c r="O192" s="70">
        <f t="shared" si="42"/>
        <v>0</v>
      </c>
    </row>
    <row r="193" spans="1:15">
      <c r="A193" s="9"/>
      <c r="B193" s="25">
        <v>185</v>
      </c>
      <c r="C193" s="19" t="s">
        <v>168</v>
      </c>
      <c r="D193" s="161" t="s">
        <v>169</v>
      </c>
      <c r="E193" s="162"/>
      <c r="F193" s="80" t="s">
        <v>5</v>
      </c>
      <c r="G193" s="74"/>
      <c r="H193" s="98">
        <v>20</v>
      </c>
      <c r="I193" s="74"/>
      <c r="J193" s="74"/>
      <c r="K193" s="70"/>
      <c r="L193" s="70"/>
      <c r="M193" s="74"/>
      <c r="N193" s="74"/>
      <c r="O193" s="70"/>
    </row>
    <row r="194" spans="1:15">
      <c r="A194" s="9"/>
      <c r="B194" s="25">
        <v>186</v>
      </c>
      <c r="C194" s="19"/>
      <c r="D194" s="75" t="s">
        <v>30</v>
      </c>
      <c r="E194" s="81"/>
      <c r="F194" s="77" t="s">
        <v>1</v>
      </c>
      <c r="G194" s="70">
        <v>0.41</v>
      </c>
      <c r="H194" s="70">
        <v>8.1999999999999993</v>
      </c>
      <c r="I194" s="86"/>
      <c r="J194" s="74"/>
      <c r="K194" s="70"/>
      <c r="L194" s="70"/>
      <c r="M194" s="74"/>
      <c r="N194" s="74"/>
      <c r="O194" s="70">
        <f t="shared" ref="O194:O196" si="43">J194+L194+N194</f>
        <v>0</v>
      </c>
    </row>
    <row r="195" spans="1:15">
      <c r="A195" s="9"/>
      <c r="B195" s="25">
        <v>187</v>
      </c>
      <c r="C195" s="19"/>
      <c r="D195" s="75" t="s">
        <v>31</v>
      </c>
      <c r="E195" s="81"/>
      <c r="F195" s="78" t="s">
        <v>4</v>
      </c>
      <c r="G195" s="70">
        <v>0.16600000000000001</v>
      </c>
      <c r="H195" s="70">
        <v>3.3200000000000003</v>
      </c>
      <c r="I195" s="74"/>
      <c r="J195" s="74"/>
      <c r="K195" s="70"/>
      <c r="L195" s="74"/>
      <c r="M195" s="74"/>
      <c r="N195" s="74"/>
      <c r="O195" s="70">
        <f t="shared" si="43"/>
        <v>0</v>
      </c>
    </row>
    <row r="196" spans="1:15">
      <c r="A196" s="9"/>
      <c r="B196" s="25">
        <v>188</v>
      </c>
      <c r="C196" s="19"/>
      <c r="D196" s="75" t="s">
        <v>19</v>
      </c>
      <c r="E196" s="81"/>
      <c r="F196" s="78" t="s">
        <v>4</v>
      </c>
      <c r="G196" s="70">
        <v>2.1999999999999999E-2</v>
      </c>
      <c r="H196" s="70">
        <v>0.43999999999999995</v>
      </c>
      <c r="I196" s="74"/>
      <c r="J196" s="74"/>
      <c r="K196" s="70"/>
      <c r="L196" s="70"/>
      <c r="M196" s="74"/>
      <c r="N196" s="74"/>
      <c r="O196" s="70">
        <f t="shared" si="43"/>
        <v>0</v>
      </c>
    </row>
    <row r="197" spans="1:15">
      <c r="A197" s="9"/>
      <c r="B197" s="25">
        <v>189</v>
      </c>
      <c r="C197" s="19" t="s">
        <v>172</v>
      </c>
      <c r="D197" s="64" t="s">
        <v>173</v>
      </c>
      <c r="E197" s="65"/>
      <c r="F197" s="80" t="s">
        <v>6</v>
      </c>
      <c r="G197" s="73"/>
      <c r="H197" s="98">
        <v>1</v>
      </c>
      <c r="I197" s="74"/>
      <c r="J197" s="74"/>
      <c r="K197" s="70"/>
      <c r="L197" s="70"/>
      <c r="M197" s="74"/>
      <c r="N197" s="74"/>
      <c r="O197" s="70"/>
    </row>
    <row r="198" spans="1:15">
      <c r="A198" s="9"/>
      <c r="B198" s="25">
        <v>190</v>
      </c>
      <c r="C198" s="19"/>
      <c r="D198" s="75" t="s">
        <v>30</v>
      </c>
      <c r="E198" s="99"/>
      <c r="F198" s="77" t="s">
        <v>1</v>
      </c>
      <c r="G198" s="70">
        <v>0.8</v>
      </c>
      <c r="H198" s="70">
        <v>0.8</v>
      </c>
      <c r="I198" s="86"/>
      <c r="J198" s="74"/>
      <c r="K198" s="70"/>
      <c r="L198" s="70"/>
      <c r="M198" s="74"/>
      <c r="N198" s="74"/>
      <c r="O198" s="70">
        <f t="shared" ref="O198:O200" si="44">J198+L198+N198</f>
        <v>0</v>
      </c>
    </row>
    <row r="199" spans="1:15">
      <c r="A199" s="9"/>
      <c r="B199" s="25">
        <v>191</v>
      </c>
      <c r="C199" s="19"/>
      <c r="D199" s="75" t="s">
        <v>31</v>
      </c>
      <c r="E199" s="99"/>
      <c r="F199" s="78" t="s">
        <v>4</v>
      </c>
      <c r="G199" s="70">
        <v>0.20200000000000001</v>
      </c>
      <c r="H199" s="70">
        <v>0.20200000000000001</v>
      </c>
      <c r="I199" s="74"/>
      <c r="J199" s="74"/>
      <c r="K199" s="70"/>
      <c r="L199" s="74"/>
      <c r="M199" s="74"/>
      <c r="N199" s="74"/>
      <c r="O199" s="70">
        <f t="shared" si="44"/>
        <v>0</v>
      </c>
    </row>
    <row r="200" spans="1:15">
      <c r="A200" s="9"/>
      <c r="B200" s="25">
        <v>192</v>
      </c>
      <c r="C200" s="19"/>
      <c r="D200" s="75" t="s">
        <v>19</v>
      </c>
      <c r="E200" s="99"/>
      <c r="F200" s="78" t="s">
        <v>4</v>
      </c>
      <c r="G200" s="70">
        <v>1.2999999999999999E-2</v>
      </c>
      <c r="H200" s="70">
        <v>1.2999999999999999E-2</v>
      </c>
      <c r="I200" s="74"/>
      <c r="J200" s="74"/>
      <c r="K200" s="70"/>
      <c r="L200" s="70"/>
      <c r="M200" s="74"/>
      <c r="N200" s="74"/>
      <c r="O200" s="70">
        <f t="shared" si="44"/>
        <v>0</v>
      </c>
    </row>
    <row r="201" spans="1:15">
      <c r="A201" s="9"/>
      <c r="B201" s="25">
        <v>193</v>
      </c>
      <c r="C201" s="19" t="s">
        <v>172</v>
      </c>
      <c r="D201" s="64" t="s">
        <v>174</v>
      </c>
      <c r="E201" s="65"/>
      <c r="F201" s="80" t="s">
        <v>6</v>
      </c>
      <c r="G201" s="73"/>
      <c r="H201" s="98">
        <v>6</v>
      </c>
      <c r="I201" s="74"/>
      <c r="J201" s="74"/>
      <c r="K201" s="70"/>
      <c r="L201" s="70"/>
      <c r="M201" s="74"/>
      <c r="N201" s="74"/>
      <c r="O201" s="70"/>
    </row>
    <row r="202" spans="1:15">
      <c r="A202" s="9"/>
      <c r="B202" s="25">
        <v>194</v>
      </c>
      <c r="C202" s="19"/>
      <c r="D202" s="75" t="s">
        <v>30</v>
      </c>
      <c r="E202" s="99"/>
      <c r="F202" s="77" t="s">
        <v>1</v>
      </c>
      <c r="G202" s="70">
        <v>0.68</v>
      </c>
      <c r="H202" s="70">
        <v>4.08</v>
      </c>
      <c r="I202" s="86"/>
      <c r="J202" s="74"/>
      <c r="K202" s="70"/>
      <c r="L202" s="70"/>
      <c r="M202" s="74"/>
      <c r="N202" s="74"/>
      <c r="O202" s="70">
        <f t="shared" ref="O202:O204" si="45">J202+L202+N202</f>
        <v>0</v>
      </c>
    </row>
    <row r="203" spans="1:15">
      <c r="A203" s="9"/>
      <c r="B203" s="25">
        <v>195</v>
      </c>
      <c r="C203" s="19"/>
      <c r="D203" s="75" t="s">
        <v>31</v>
      </c>
      <c r="E203" s="99"/>
      <c r="F203" s="78" t="s">
        <v>4</v>
      </c>
      <c r="G203" s="70">
        <v>0.10299999999999999</v>
      </c>
      <c r="H203" s="70">
        <v>0.61799999999999999</v>
      </c>
      <c r="I203" s="74"/>
      <c r="J203" s="74"/>
      <c r="K203" s="70"/>
      <c r="L203" s="74"/>
      <c r="M203" s="74"/>
      <c r="N203" s="74"/>
      <c r="O203" s="70">
        <f t="shared" si="45"/>
        <v>0</v>
      </c>
    </row>
    <row r="204" spans="1:15">
      <c r="A204" s="9"/>
      <c r="B204" s="25">
        <v>196</v>
      </c>
      <c r="C204" s="19"/>
      <c r="D204" s="75" t="s">
        <v>19</v>
      </c>
      <c r="E204" s="99"/>
      <c r="F204" s="78" t="s">
        <v>4</v>
      </c>
      <c r="G204" s="70">
        <v>1.0999999999999999E-2</v>
      </c>
      <c r="H204" s="70">
        <v>6.6000000000000003E-2</v>
      </c>
      <c r="I204" s="74"/>
      <c r="J204" s="74"/>
      <c r="K204" s="70"/>
      <c r="L204" s="70"/>
      <c r="M204" s="74"/>
      <c r="N204" s="74"/>
      <c r="O204" s="70">
        <f t="shared" si="45"/>
        <v>0</v>
      </c>
    </row>
    <row r="205" spans="1:15">
      <c r="A205" s="9"/>
      <c r="B205" s="25">
        <v>197</v>
      </c>
      <c r="C205" s="19" t="s">
        <v>176</v>
      </c>
      <c r="D205" s="64" t="s">
        <v>175</v>
      </c>
      <c r="E205" s="65"/>
      <c r="F205" s="80" t="s">
        <v>6</v>
      </c>
      <c r="G205" s="73"/>
      <c r="H205" s="98">
        <v>3</v>
      </c>
      <c r="I205" s="74"/>
      <c r="J205" s="74"/>
      <c r="K205" s="70"/>
      <c r="L205" s="70"/>
      <c r="M205" s="74"/>
      <c r="N205" s="74"/>
      <c r="O205" s="70"/>
    </row>
    <row r="206" spans="1:15">
      <c r="A206" s="9"/>
      <c r="B206" s="25">
        <v>198</v>
      </c>
      <c r="C206" s="19"/>
      <c r="D206" s="75" t="s">
        <v>30</v>
      </c>
      <c r="E206" s="99"/>
      <c r="F206" s="77" t="s">
        <v>1</v>
      </c>
      <c r="G206" s="70">
        <v>0.34</v>
      </c>
      <c r="H206" s="70">
        <v>1.02</v>
      </c>
      <c r="I206" s="86"/>
      <c r="J206" s="74"/>
      <c r="K206" s="70"/>
      <c r="L206" s="70"/>
      <c r="M206" s="74"/>
      <c r="N206" s="74"/>
      <c r="O206" s="70">
        <f t="shared" ref="O206:O208" si="46">J206+L206+N206</f>
        <v>0</v>
      </c>
    </row>
    <row r="207" spans="1:15">
      <c r="A207" s="9"/>
      <c r="B207" s="25">
        <v>199</v>
      </c>
      <c r="C207" s="19"/>
      <c r="D207" s="75" t="s">
        <v>31</v>
      </c>
      <c r="E207" s="99"/>
      <c r="F207" s="78" t="s">
        <v>4</v>
      </c>
      <c r="G207" s="70">
        <v>0.93700000000000006</v>
      </c>
      <c r="H207" s="70">
        <v>2.8109999999999999</v>
      </c>
      <c r="I207" s="74"/>
      <c r="J207" s="74"/>
      <c r="K207" s="70"/>
      <c r="L207" s="74"/>
      <c r="M207" s="74"/>
      <c r="N207" s="74"/>
      <c r="O207" s="70">
        <f t="shared" si="46"/>
        <v>0</v>
      </c>
    </row>
    <row r="208" spans="1:15">
      <c r="A208" s="9"/>
      <c r="B208" s="25">
        <v>200</v>
      </c>
      <c r="C208" s="19"/>
      <c r="D208" s="75" t="s">
        <v>19</v>
      </c>
      <c r="E208" s="99"/>
      <c r="F208" s="78" t="s">
        <v>4</v>
      </c>
      <c r="G208" s="70">
        <v>1.1299999999999999E-2</v>
      </c>
      <c r="H208" s="70">
        <v>3.39E-2</v>
      </c>
      <c r="I208" s="74"/>
      <c r="J208" s="74"/>
      <c r="K208" s="70"/>
      <c r="L208" s="70"/>
      <c r="M208" s="74"/>
      <c r="N208" s="74"/>
      <c r="O208" s="70">
        <f t="shared" si="46"/>
        <v>0</v>
      </c>
    </row>
    <row r="209" spans="1:15">
      <c r="A209" s="9"/>
      <c r="B209" s="25">
        <v>201</v>
      </c>
      <c r="C209" s="19" t="s">
        <v>178</v>
      </c>
      <c r="D209" s="64" t="s">
        <v>177</v>
      </c>
      <c r="E209" s="65"/>
      <c r="F209" s="80" t="s">
        <v>6</v>
      </c>
      <c r="G209" s="73"/>
      <c r="H209" s="98">
        <v>13</v>
      </c>
      <c r="I209" s="74"/>
      <c r="J209" s="74"/>
      <c r="K209" s="70"/>
      <c r="L209" s="70"/>
      <c r="M209" s="74"/>
      <c r="N209" s="74"/>
      <c r="O209" s="70"/>
    </row>
    <row r="210" spans="1:15">
      <c r="A210" s="9"/>
      <c r="B210" s="25">
        <v>202</v>
      </c>
      <c r="C210" s="19"/>
      <c r="D210" s="75" t="s">
        <v>30</v>
      </c>
      <c r="E210" s="99"/>
      <c r="F210" s="77" t="s">
        <v>1</v>
      </c>
      <c r="G210" s="70">
        <v>0.56999999999999995</v>
      </c>
      <c r="H210" s="70">
        <v>7.4099999999999993</v>
      </c>
      <c r="I210" s="86"/>
      <c r="J210" s="74"/>
      <c r="K210" s="70"/>
      <c r="L210" s="70"/>
      <c r="M210" s="74"/>
      <c r="N210" s="74"/>
      <c r="O210" s="70">
        <f t="shared" ref="O210:O212" si="47">J210+L210+N210</f>
        <v>0</v>
      </c>
    </row>
    <row r="211" spans="1:15">
      <c r="A211" s="9"/>
      <c r="B211" s="25">
        <v>203</v>
      </c>
      <c r="C211" s="19"/>
      <c r="D211" s="75" t="s">
        <v>31</v>
      </c>
      <c r="E211" s="99"/>
      <c r="F211" s="78" t="s">
        <v>4</v>
      </c>
      <c r="G211" s="70">
        <v>9.2999999999999999E-2</v>
      </c>
      <c r="H211" s="70">
        <v>1.2090000000000001</v>
      </c>
      <c r="I211" s="74"/>
      <c r="J211" s="74"/>
      <c r="K211" s="70"/>
      <c r="L211" s="74"/>
      <c r="M211" s="74"/>
      <c r="N211" s="74"/>
      <c r="O211" s="70">
        <f t="shared" si="47"/>
        <v>0</v>
      </c>
    </row>
    <row r="212" spans="1:15">
      <c r="A212" s="9"/>
      <c r="B212" s="25">
        <v>204</v>
      </c>
      <c r="C212" s="19"/>
      <c r="D212" s="75" t="s">
        <v>19</v>
      </c>
      <c r="E212" s="99"/>
      <c r="F212" s="78" t="s">
        <v>4</v>
      </c>
      <c r="G212" s="70">
        <v>0.51800000000000002</v>
      </c>
      <c r="H212" s="70">
        <v>6.734</v>
      </c>
      <c r="I212" s="74"/>
      <c r="J212" s="74"/>
      <c r="K212" s="70"/>
      <c r="L212" s="70"/>
      <c r="M212" s="74"/>
      <c r="N212" s="74"/>
      <c r="O212" s="70">
        <f t="shared" si="47"/>
        <v>0</v>
      </c>
    </row>
    <row r="213" spans="1:15">
      <c r="A213" s="9"/>
      <c r="B213" s="25">
        <v>205</v>
      </c>
      <c r="C213" s="19" t="s">
        <v>180</v>
      </c>
      <c r="D213" s="64" t="s">
        <v>179</v>
      </c>
      <c r="E213" s="81"/>
      <c r="F213" s="80" t="s">
        <v>6</v>
      </c>
      <c r="G213" s="73"/>
      <c r="H213" s="98">
        <v>12</v>
      </c>
      <c r="I213" s="74"/>
      <c r="J213" s="74"/>
      <c r="K213" s="70"/>
      <c r="L213" s="70"/>
      <c r="M213" s="74"/>
      <c r="N213" s="74"/>
      <c r="O213" s="70"/>
    </row>
    <row r="214" spans="1:15">
      <c r="A214" s="9"/>
      <c r="B214" s="25">
        <v>206</v>
      </c>
      <c r="C214" s="19"/>
      <c r="D214" s="75" t="s">
        <v>30</v>
      </c>
      <c r="E214" s="81"/>
      <c r="F214" s="77" t="s">
        <v>1</v>
      </c>
      <c r="G214" s="70">
        <v>0.35</v>
      </c>
      <c r="H214" s="70">
        <v>4.1999999999999993</v>
      </c>
      <c r="I214" s="86"/>
      <c r="J214" s="74"/>
      <c r="K214" s="70"/>
      <c r="L214" s="70"/>
      <c r="M214" s="74"/>
      <c r="N214" s="74"/>
      <c r="O214" s="70">
        <f t="shared" ref="O214:O216" si="48">J214+L214+N214</f>
        <v>0</v>
      </c>
    </row>
    <row r="215" spans="1:15">
      <c r="A215" s="9"/>
      <c r="B215" s="25">
        <v>207</v>
      </c>
      <c r="C215" s="19"/>
      <c r="D215" s="75" t="s">
        <v>31</v>
      </c>
      <c r="E215" s="81"/>
      <c r="F215" s="78" t="s">
        <v>4</v>
      </c>
      <c r="G215" s="70">
        <v>3.8999999999999998E-3</v>
      </c>
      <c r="H215" s="70">
        <v>4.6799999999999994E-2</v>
      </c>
      <c r="I215" s="74"/>
      <c r="J215" s="74"/>
      <c r="K215" s="70"/>
      <c r="L215" s="74"/>
      <c r="M215" s="74"/>
      <c r="N215" s="74"/>
      <c r="O215" s="70">
        <f t="shared" si="48"/>
        <v>0</v>
      </c>
    </row>
    <row r="216" spans="1:15">
      <c r="A216" s="9"/>
      <c r="B216" s="25">
        <v>208</v>
      </c>
      <c r="C216" s="19"/>
      <c r="D216" s="75" t="s">
        <v>19</v>
      </c>
      <c r="E216" s="81"/>
      <c r="F216" s="78" t="s">
        <v>4</v>
      </c>
      <c r="G216" s="70">
        <v>0.01</v>
      </c>
      <c r="H216" s="70">
        <v>0.12</v>
      </c>
      <c r="I216" s="74"/>
      <c r="J216" s="74"/>
      <c r="K216" s="70"/>
      <c r="L216" s="70"/>
      <c r="M216" s="74"/>
      <c r="N216" s="74"/>
      <c r="O216" s="70">
        <f t="shared" si="48"/>
        <v>0</v>
      </c>
    </row>
    <row r="217" spans="1:15">
      <c r="A217" s="9"/>
      <c r="B217" s="25">
        <v>209</v>
      </c>
      <c r="C217" s="19" t="s">
        <v>181</v>
      </c>
      <c r="D217" s="64" t="s">
        <v>182</v>
      </c>
      <c r="E217" s="81"/>
      <c r="F217" s="80" t="s">
        <v>5</v>
      </c>
      <c r="G217" s="73"/>
      <c r="H217" s="98">
        <v>90</v>
      </c>
      <c r="I217" s="74"/>
      <c r="J217" s="74"/>
      <c r="K217" s="70"/>
      <c r="L217" s="70"/>
      <c r="M217" s="74"/>
      <c r="N217" s="74"/>
      <c r="O217" s="70"/>
    </row>
    <row r="218" spans="1:15">
      <c r="A218" s="9"/>
      <c r="B218" s="25">
        <v>210</v>
      </c>
      <c r="C218" s="19"/>
      <c r="D218" s="75" t="s">
        <v>30</v>
      </c>
      <c r="E218" s="81"/>
      <c r="F218" s="77" t="s">
        <v>1</v>
      </c>
      <c r="G218" s="70">
        <v>0.31</v>
      </c>
      <c r="H218" s="70">
        <v>27.9</v>
      </c>
      <c r="I218" s="86"/>
      <c r="J218" s="74"/>
      <c r="K218" s="70"/>
      <c r="L218" s="70"/>
      <c r="M218" s="74"/>
      <c r="N218" s="74"/>
      <c r="O218" s="70">
        <f t="shared" ref="O218:O220" si="49">J218+L218+N218</f>
        <v>0</v>
      </c>
    </row>
    <row r="219" spans="1:15">
      <c r="A219" s="9"/>
      <c r="B219" s="25">
        <v>211</v>
      </c>
      <c r="C219" s="19"/>
      <c r="D219" s="75" t="s">
        <v>31</v>
      </c>
      <c r="E219" s="81"/>
      <c r="F219" s="78" t="s">
        <v>4</v>
      </c>
      <c r="G219" s="70">
        <v>0.17100000000000001</v>
      </c>
      <c r="H219" s="70">
        <v>15.39</v>
      </c>
      <c r="I219" s="74"/>
      <c r="J219" s="74"/>
      <c r="K219" s="70"/>
      <c r="L219" s="74"/>
      <c r="M219" s="74"/>
      <c r="N219" s="74"/>
      <c r="O219" s="70">
        <f t="shared" si="49"/>
        <v>0</v>
      </c>
    </row>
    <row r="220" spans="1:15">
      <c r="A220" s="9"/>
      <c r="B220" s="25">
        <v>212</v>
      </c>
      <c r="C220" s="19"/>
      <c r="D220" s="75" t="s">
        <v>19</v>
      </c>
      <c r="E220" s="81"/>
      <c r="F220" s="78" t="s">
        <v>4</v>
      </c>
      <c r="G220" s="70">
        <v>0.127</v>
      </c>
      <c r="H220" s="70">
        <v>11.43</v>
      </c>
      <c r="I220" s="74"/>
      <c r="J220" s="74"/>
      <c r="K220" s="70"/>
      <c r="L220" s="70"/>
      <c r="M220" s="74"/>
      <c r="N220" s="74"/>
      <c r="O220" s="70">
        <f t="shared" si="49"/>
        <v>0</v>
      </c>
    </row>
    <row r="221" spans="1:15">
      <c r="A221" s="9"/>
      <c r="B221" s="25">
        <v>213</v>
      </c>
      <c r="C221" s="19" t="s">
        <v>270</v>
      </c>
      <c r="D221" s="64" t="s">
        <v>271</v>
      </c>
      <c r="E221" s="81"/>
      <c r="F221" s="80" t="s">
        <v>5</v>
      </c>
      <c r="G221" s="73"/>
      <c r="H221" s="98">
        <v>38</v>
      </c>
      <c r="I221" s="74"/>
      <c r="J221" s="74"/>
      <c r="K221" s="70"/>
      <c r="L221" s="70"/>
      <c r="M221" s="74"/>
      <c r="N221" s="74"/>
      <c r="O221" s="70"/>
    </row>
    <row r="222" spans="1:15">
      <c r="A222" s="9"/>
      <c r="B222" s="25">
        <v>214</v>
      </c>
      <c r="C222" s="19"/>
      <c r="D222" s="75" t="s">
        <v>30</v>
      </c>
      <c r="E222" s="81"/>
      <c r="F222" s="77" t="s">
        <v>1</v>
      </c>
      <c r="G222" s="70">
        <v>0.25</v>
      </c>
      <c r="H222" s="70">
        <v>9.5</v>
      </c>
      <c r="I222" s="86"/>
      <c r="J222" s="74"/>
      <c r="K222" s="70"/>
      <c r="L222" s="70"/>
      <c r="M222" s="74"/>
      <c r="N222" s="74"/>
      <c r="O222" s="70">
        <f t="shared" ref="O222:O224" si="50">J222+L222+N222</f>
        <v>0</v>
      </c>
    </row>
    <row r="223" spans="1:15">
      <c r="A223" s="9"/>
      <c r="B223" s="25">
        <v>215</v>
      </c>
      <c r="C223" s="19"/>
      <c r="D223" s="75" t="s">
        <v>31</v>
      </c>
      <c r="E223" s="81"/>
      <c r="F223" s="78" t="s">
        <v>4</v>
      </c>
      <c r="G223" s="70">
        <v>0.14699999999999999</v>
      </c>
      <c r="H223" s="70">
        <v>5.5859999999999994</v>
      </c>
      <c r="I223" s="74"/>
      <c r="J223" s="74"/>
      <c r="K223" s="70"/>
      <c r="L223" s="74"/>
      <c r="M223" s="74"/>
      <c r="N223" s="74"/>
      <c r="O223" s="70">
        <f t="shared" si="50"/>
        <v>0</v>
      </c>
    </row>
    <row r="224" spans="1:15">
      <c r="A224" s="9"/>
      <c r="B224" s="25">
        <v>216</v>
      </c>
      <c r="C224" s="19"/>
      <c r="D224" s="75" t="s">
        <v>19</v>
      </c>
      <c r="E224" s="81"/>
      <c r="F224" s="78" t="s">
        <v>4</v>
      </c>
      <c r="G224" s="70">
        <v>2.3E-2</v>
      </c>
      <c r="H224" s="70">
        <v>0.874</v>
      </c>
      <c r="I224" s="74"/>
      <c r="J224" s="74"/>
      <c r="K224" s="70"/>
      <c r="L224" s="70"/>
      <c r="M224" s="74"/>
      <c r="N224" s="74"/>
      <c r="O224" s="70">
        <f t="shared" si="50"/>
        <v>0</v>
      </c>
    </row>
    <row r="225" spans="1:15">
      <c r="A225" s="9"/>
      <c r="B225" s="25">
        <v>217</v>
      </c>
      <c r="C225" s="19" t="s">
        <v>273</v>
      </c>
      <c r="D225" s="64" t="s">
        <v>272</v>
      </c>
      <c r="E225" s="81"/>
      <c r="F225" s="80" t="s">
        <v>5</v>
      </c>
      <c r="G225" s="73"/>
      <c r="H225" s="98">
        <v>75</v>
      </c>
      <c r="I225" s="74"/>
      <c r="J225" s="74"/>
      <c r="K225" s="70"/>
      <c r="L225" s="70"/>
      <c r="M225" s="74"/>
      <c r="N225" s="74"/>
      <c r="O225" s="70"/>
    </row>
    <row r="226" spans="1:15">
      <c r="A226" s="9"/>
      <c r="B226" s="25">
        <v>218</v>
      </c>
      <c r="C226" s="19"/>
      <c r="D226" s="75" t="s">
        <v>30</v>
      </c>
      <c r="E226" s="81"/>
      <c r="F226" s="77" t="s">
        <v>1</v>
      </c>
      <c r="G226" s="70">
        <v>0.02</v>
      </c>
      <c r="H226" s="70">
        <v>1.5</v>
      </c>
      <c r="I226" s="86"/>
      <c r="J226" s="74"/>
      <c r="K226" s="70"/>
      <c r="L226" s="70"/>
      <c r="M226" s="74"/>
      <c r="N226" s="74"/>
      <c r="O226" s="70">
        <f t="shared" ref="O226:O228" si="51">J226+L226+N226</f>
        <v>0</v>
      </c>
    </row>
    <row r="227" spans="1:15">
      <c r="A227" s="9"/>
      <c r="B227" s="25">
        <v>219</v>
      </c>
      <c r="C227" s="19"/>
      <c r="D227" s="75" t="s">
        <v>31</v>
      </c>
      <c r="E227" s="81"/>
      <c r="F227" s="78" t="s">
        <v>4</v>
      </c>
      <c r="G227" s="70">
        <v>8.9999999999999998E-4</v>
      </c>
      <c r="H227" s="70">
        <v>6.7500000000000004E-2</v>
      </c>
      <c r="I227" s="74"/>
      <c r="J227" s="74"/>
      <c r="K227" s="70"/>
      <c r="L227" s="74"/>
      <c r="M227" s="74"/>
      <c r="N227" s="74"/>
      <c r="O227" s="70">
        <f t="shared" si="51"/>
        <v>0</v>
      </c>
    </row>
    <row r="228" spans="1:15">
      <c r="A228" s="9"/>
      <c r="B228" s="25">
        <v>220</v>
      </c>
      <c r="C228" s="19"/>
      <c r="D228" s="75" t="s">
        <v>19</v>
      </c>
      <c r="E228" s="81"/>
      <c r="F228" s="78" t="s">
        <v>4</v>
      </c>
      <c r="G228" s="70">
        <v>1.2999999999999999E-3</v>
      </c>
      <c r="H228" s="70">
        <v>9.7499999999999989E-2</v>
      </c>
      <c r="I228" s="74"/>
      <c r="J228" s="74"/>
      <c r="K228" s="70"/>
      <c r="L228" s="70"/>
      <c r="M228" s="74"/>
      <c r="N228" s="74"/>
      <c r="O228" s="70">
        <f t="shared" si="51"/>
        <v>0</v>
      </c>
    </row>
    <row r="229" spans="1:15" ht="21.75" customHeight="1">
      <c r="A229" s="9"/>
      <c r="B229" s="25">
        <v>221</v>
      </c>
      <c r="C229" s="19" t="s">
        <v>274</v>
      </c>
      <c r="D229" s="64" t="s">
        <v>275</v>
      </c>
      <c r="E229" s="81"/>
      <c r="F229" s="80" t="s">
        <v>5</v>
      </c>
      <c r="G229" s="73"/>
      <c r="H229" s="98">
        <v>24</v>
      </c>
      <c r="I229" s="74"/>
      <c r="J229" s="74"/>
      <c r="K229" s="70"/>
      <c r="L229" s="70"/>
      <c r="M229" s="74"/>
      <c r="N229" s="74"/>
      <c r="O229" s="70"/>
    </row>
    <row r="230" spans="1:15">
      <c r="A230" s="9"/>
      <c r="B230" s="25">
        <v>222</v>
      </c>
      <c r="C230" s="19"/>
      <c r="D230" s="75" t="s">
        <v>30</v>
      </c>
      <c r="E230" s="81"/>
      <c r="F230" s="77" t="s">
        <v>1</v>
      </c>
      <c r="G230" s="70">
        <v>0.72</v>
      </c>
      <c r="H230" s="70">
        <v>17.28</v>
      </c>
      <c r="I230" s="86"/>
      <c r="J230" s="74"/>
      <c r="K230" s="70"/>
      <c r="L230" s="70"/>
      <c r="M230" s="74"/>
      <c r="N230" s="74"/>
      <c r="O230" s="70">
        <f t="shared" ref="O230:O232" si="52">J230+L230+N230</f>
        <v>0</v>
      </c>
    </row>
    <row r="231" spans="1:15">
      <c r="A231" s="9"/>
      <c r="B231" s="25">
        <v>223</v>
      </c>
      <c r="C231" s="19"/>
      <c r="D231" s="75" t="s">
        <v>31</v>
      </c>
      <c r="E231" s="81"/>
      <c r="F231" s="78" t="s">
        <v>4</v>
      </c>
      <c r="G231" s="70">
        <v>0.32100000000000001</v>
      </c>
      <c r="H231" s="70">
        <v>7.7040000000000006</v>
      </c>
      <c r="I231" s="74"/>
      <c r="J231" s="74"/>
      <c r="K231" s="70"/>
      <c r="L231" s="74"/>
      <c r="M231" s="74"/>
      <c r="N231" s="74"/>
      <c r="O231" s="70">
        <f t="shared" si="52"/>
        <v>0</v>
      </c>
    </row>
    <row r="232" spans="1:15">
      <c r="A232" s="9"/>
      <c r="B232" s="25">
        <v>224</v>
      </c>
      <c r="C232" s="19"/>
      <c r="D232" s="75" t="s">
        <v>19</v>
      </c>
      <c r="E232" s="81"/>
      <c r="F232" s="78" t="s">
        <v>4</v>
      </c>
      <c r="G232" s="70">
        <v>0.109</v>
      </c>
      <c r="H232" s="70">
        <v>2.6160000000000001</v>
      </c>
      <c r="I232" s="74"/>
      <c r="J232" s="74"/>
      <c r="K232" s="70"/>
      <c r="L232" s="70"/>
      <c r="M232" s="74"/>
      <c r="N232" s="74"/>
      <c r="O232" s="70">
        <f t="shared" si="52"/>
        <v>0</v>
      </c>
    </row>
    <row r="233" spans="1:15" ht="19.5" customHeight="1">
      <c r="B233" s="25">
        <v>225</v>
      </c>
      <c r="C233" s="19"/>
      <c r="D233" s="150" t="s">
        <v>161</v>
      </c>
      <c r="E233" s="151"/>
      <c r="F233" s="25" t="s">
        <v>4</v>
      </c>
      <c r="G233" s="35"/>
      <c r="H233" s="35"/>
      <c r="I233" s="35"/>
      <c r="J233" s="36"/>
      <c r="K233" s="35"/>
      <c r="L233" s="36"/>
      <c r="M233" s="35"/>
      <c r="N233" s="36"/>
      <c r="O233" s="36">
        <f>SUM(O48:O232)</f>
        <v>0</v>
      </c>
    </row>
    <row r="234" spans="1:15" ht="19.5" customHeight="1">
      <c r="B234" s="25">
        <v>226</v>
      </c>
      <c r="C234" s="19"/>
      <c r="D234" s="150" t="s">
        <v>136</v>
      </c>
      <c r="E234" s="151"/>
      <c r="F234" s="37">
        <v>0.75</v>
      </c>
      <c r="G234" s="35"/>
      <c r="H234" s="35"/>
      <c r="I234" s="35"/>
      <c r="J234" s="35"/>
      <c r="K234" s="35"/>
      <c r="L234" s="35"/>
      <c r="M234" s="35"/>
      <c r="N234" s="35"/>
      <c r="O234" s="36">
        <f>J233*F234</f>
        <v>0</v>
      </c>
    </row>
    <row r="235" spans="1:15" ht="27" customHeight="1">
      <c r="B235" s="25">
        <v>227</v>
      </c>
      <c r="C235" s="19"/>
      <c r="D235" s="67" t="s">
        <v>115</v>
      </c>
      <c r="E235" s="88"/>
      <c r="F235" s="37"/>
      <c r="G235" s="35"/>
      <c r="H235" s="35"/>
      <c r="I235" s="35"/>
      <c r="J235" s="35"/>
      <c r="K235" s="35"/>
      <c r="L235" s="35"/>
      <c r="M235" s="35"/>
      <c r="N235" s="35"/>
      <c r="O235" s="36"/>
    </row>
    <row r="236" spans="1:15" ht="28.5" customHeight="1">
      <c r="A236" s="9"/>
      <c r="B236" s="25">
        <v>228</v>
      </c>
      <c r="C236" s="19" t="s">
        <v>308</v>
      </c>
      <c r="D236" s="79" t="s">
        <v>231</v>
      </c>
      <c r="E236" s="113" t="s">
        <v>183</v>
      </c>
      <c r="F236" s="78" t="s">
        <v>51</v>
      </c>
      <c r="G236" s="74"/>
      <c r="H236" s="98">
        <v>1</v>
      </c>
      <c r="I236" s="74"/>
      <c r="J236" s="74"/>
      <c r="K236" s="5"/>
      <c r="L236" s="70"/>
      <c r="M236" s="5"/>
      <c r="N236" s="74"/>
      <c r="O236" s="70">
        <f>J236+L236+N236</f>
        <v>0</v>
      </c>
    </row>
    <row r="237" spans="1:15" ht="28.5" customHeight="1">
      <c r="A237" s="9"/>
      <c r="B237" s="25">
        <v>229</v>
      </c>
      <c r="C237" s="19" t="s">
        <v>8</v>
      </c>
      <c r="D237" s="107" t="s">
        <v>232</v>
      </c>
      <c r="E237" s="108" t="s">
        <v>184</v>
      </c>
      <c r="F237" s="78" t="s">
        <v>51</v>
      </c>
      <c r="G237" s="74"/>
      <c r="H237" s="98">
        <v>1</v>
      </c>
      <c r="I237" s="74"/>
      <c r="J237" s="74"/>
      <c r="K237" s="2"/>
      <c r="L237" s="70"/>
      <c r="M237" s="5"/>
      <c r="N237" s="74"/>
      <c r="O237" s="70">
        <f t="shared" ref="O237:O264" si="53">J237+L237+N237</f>
        <v>0</v>
      </c>
    </row>
    <row r="238" spans="1:15" ht="45">
      <c r="A238" s="9"/>
      <c r="B238" s="25">
        <v>230</v>
      </c>
      <c r="C238" s="19" t="s">
        <v>8</v>
      </c>
      <c r="D238" s="107" t="s">
        <v>240</v>
      </c>
      <c r="E238" s="108" t="s">
        <v>185</v>
      </c>
      <c r="F238" s="78" t="s">
        <v>51</v>
      </c>
      <c r="G238" s="74"/>
      <c r="H238" s="98">
        <v>2</v>
      </c>
      <c r="I238" s="74"/>
      <c r="J238" s="74"/>
      <c r="K238" s="5"/>
      <c r="L238" s="70"/>
      <c r="M238" s="5"/>
      <c r="N238" s="74"/>
      <c r="O238" s="70">
        <f t="shared" si="53"/>
        <v>0</v>
      </c>
    </row>
    <row r="239" spans="1:15" ht="45">
      <c r="A239" s="9"/>
      <c r="B239" s="25">
        <v>231</v>
      </c>
      <c r="C239" s="19" t="s">
        <v>8</v>
      </c>
      <c r="D239" s="107" t="s">
        <v>241</v>
      </c>
      <c r="E239" s="108" t="s">
        <v>185</v>
      </c>
      <c r="F239" s="78" t="s">
        <v>51</v>
      </c>
      <c r="G239" s="74"/>
      <c r="H239" s="98">
        <v>1</v>
      </c>
      <c r="I239" s="74"/>
      <c r="J239" s="74"/>
      <c r="K239" s="5"/>
      <c r="L239" s="70"/>
      <c r="M239" s="5"/>
      <c r="N239" s="74"/>
      <c r="O239" s="70">
        <f t="shared" si="53"/>
        <v>0</v>
      </c>
    </row>
    <row r="240" spans="1:15" ht="31.5" customHeight="1">
      <c r="A240" s="9"/>
      <c r="B240" s="25">
        <v>232</v>
      </c>
      <c r="C240" s="19" t="s">
        <v>357</v>
      </c>
      <c r="D240" s="107" t="s">
        <v>242</v>
      </c>
      <c r="E240" s="108" t="s">
        <v>185</v>
      </c>
      <c r="F240" s="78" t="s">
        <v>51</v>
      </c>
      <c r="G240" s="74"/>
      <c r="H240" s="98">
        <v>2</v>
      </c>
      <c r="I240" s="74"/>
      <c r="J240" s="74"/>
      <c r="K240" s="5"/>
      <c r="L240" s="70"/>
      <c r="M240" s="5"/>
      <c r="N240" s="74"/>
      <c r="O240" s="70">
        <f t="shared" si="53"/>
        <v>0</v>
      </c>
    </row>
    <row r="241" spans="1:15" ht="28.5" customHeight="1">
      <c r="A241" s="9"/>
      <c r="B241" s="25">
        <v>233</v>
      </c>
      <c r="C241" s="19" t="s">
        <v>357</v>
      </c>
      <c r="D241" s="107" t="s">
        <v>243</v>
      </c>
      <c r="E241" s="108" t="s">
        <v>185</v>
      </c>
      <c r="F241" s="78" t="s">
        <v>51</v>
      </c>
      <c r="G241" s="74"/>
      <c r="H241" s="98">
        <v>2</v>
      </c>
      <c r="I241" s="74"/>
      <c r="J241" s="74"/>
      <c r="K241" s="5"/>
      <c r="L241" s="70"/>
      <c r="M241" s="5"/>
      <c r="N241" s="74"/>
      <c r="O241" s="70">
        <f t="shared" si="53"/>
        <v>0</v>
      </c>
    </row>
    <row r="242" spans="1:15" ht="28.5" customHeight="1">
      <c r="A242" s="9"/>
      <c r="B242" s="25">
        <v>234</v>
      </c>
      <c r="C242" s="19" t="s">
        <v>308</v>
      </c>
      <c r="D242" s="107" t="s">
        <v>186</v>
      </c>
      <c r="E242" s="108" t="s">
        <v>233</v>
      </c>
      <c r="F242" s="78" t="s">
        <v>51</v>
      </c>
      <c r="G242" s="74"/>
      <c r="H242" s="98">
        <v>2</v>
      </c>
      <c r="I242" s="74"/>
      <c r="J242" s="74"/>
      <c r="K242" s="2"/>
      <c r="L242" s="70"/>
      <c r="M242" s="74"/>
      <c r="N242" s="74"/>
      <c r="O242" s="70">
        <f t="shared" si="53"/>
        <v>0</v>
      </c>
    </row>
    <row r="243" spans="1:15" ht="20.25" customHeight="1">
      <c r="A243" s="9"/>
      <c r="B243" s="25">
        <v>235</v>
      </c>
      <c r="C243" s="19" t="s">
        <v>8</v>
      </c>
      <c r="D243" s="107" t="s">
        <v>187</v>
      </c>
      <c r="E243" s="108" t="s">
        <v>188</v>
      </c>
      <c r="F243" s="78" t="s">
        <v>189</v>
      </c>
      <c r="G243" s="74"/>
      <c r="H243" s="98">
        <v>2</v>
      </c>
      <c r="I243" s="74"/>
      <c r="J243" s="74"/>
      <c r="K243" s="2"/>
      <c r="L243" s="70"/>
      <c r="M243" s="74"/>
      <c r="N243" s="74"/>
      <c r="O243" s="70">
        <f t="shared" si="53"/>
        <v>0</v>
      </c>
    </row>
    <row r="244" spans="1:15" ht="20.25" customHeight="1">
      <c r="A244" s="9"/>
      <c r="B244" s="25">
        <v>236</v>
      </c>
      <c r="C244" s="19" t="s">
        <v>8</v>
      </c>
      <c r="D244" s="107" t="s">
        <v>190</v>
      </c>
      <c r="E244" s="108" t="s">
        <v>191</v>
      </c>
      <c r="F244" s="78" t="s">
        <v>51</v>
      </c>
      <c r="G244" s="74"/>
      <c r="H244" s="98">
        <v>3</v>
      </c>
      <c r="I244" s="74"/>
      <c r="J244" s="74"/>
      <c r="K244" s="2"/>
      <c r="L244" s="70"/>
      <c r="M244" s="74"/>
      <c r="N244" s="74"/>
      <c r="O244" s="70">
        <f t="shared" si="53"/>
        <v>0</v>
      </c>
    </row>
    <row r="245" spans="1:15" ht="20.25" customHeight="1">
      <c r="A245" s="9"/>
      <c r="B245" s="25">
        <v>237</v>
      </c>
      <c r="C245" s="19" t="s">
        <v>8</v>
      </c>
      <c r="D245" s="107" t="s">
        <v>190</v>
      </c>
      <c r="E245" s="108" t="s">
        <v>192</v>
      </c>
      <c r="F245" s="78" t="s">
        <v>51</v>
      </c>
      <c r="G245" s="74"/>
      <c r="H245" s="98">
        <v>3</v>
      </c>
      <c r="I245" s="74"/>
      <c r="J245" s="74"/>
      <c r="K245" s="2"/>
      <c r="L245" s="70"/>
      <c r="M245" s="74"/>
      <c r="N245" s="74"/>
      <c r="O245" s="70">
        <f t="shared" si="53"/>
        <v>0</v>
      </c>
    </row>
    <row r="246" spans="1:15" ht="20.25" customHeight="1">
      <c r="A246" s="9"/>
      <c r="B246" s="25">
        <v>238</v>
      </c>
      <c r="C246" s="19" t="s">
        <v>8</v>
      </c>
      <c r="D246" s="107" t="s">
        <v>234</v>
      </c>
      <c r="E246" s="108" t="s">
        <v>235</v>
      </c>
      <c r="F246" s="78" t="s">
        <v>51</v>
      </c>
      <c r="G246" s="74"/>
      <c r="H246" s="98">
        <v>2</v>
      </c>
      <c r="I246" s="74"/>
      <c r="J246" s="74"/>
      <c r="K246" s="2"/>
      <c r="L246" s="70"/>
      <c r="M246" s="74"/>
      <c r="N246" s="74"/>
      <c r="O246" s="70">
        <f t="shared" si="53"/>
        <v>0</v>
      </c>
    </row>
    <row r="247" spans="1:15" ht="20.25" customHeight="1">
      <c r="A247" s="9"/>
      <c r="B247" s="25">
        <v>239</v>
      </c>
      <c r="C247" s="19" t="s">
        <v>334</v>
      </c>
      <c r="D247" s="107" t="s">
        <v>236</v>
      </c>
      <c r="E247" s="108" t="s">
        <v>237</v>
      </c>
      <c r="F247" s="78" t="s">
        <v>75</v>
      </c>
      <c r="G247" s="74"/>
      <c r="H247" s="98">
        <v>30</v>
      </c>
      <c r="I247" s="74"/>
      <c r="J247" s="74"/>
      <c r="K247" s="2"/>
      <c r="L247" s="70"/>
      <c r="M247" s="74"/>
      <c r="N247" s="74"/>
      <c r="O247" s="70">
        <f t="shared" si="53"/>
        <v>0</v>
      </c>
    </row>
    <row r="248" spans="1:15" ht="20.25" customHeight="1">
      <c r="A248" s="9"/>
      <c r="B248" s="25">
        <v>240</v>
      </c>
      <c r="C248" s="19" t="s">
        <v>8</v>
      </c>
      <c r="D248" s="107" t="s">
        <v>193</v>
      </c>
      <c r="E248" s="108" t="s">
        <v>194</v>
      </c>
      <c r="F248" s="78" t="s">
        <v>51</v>
      </c>
      <c r="G248" s="74"/>
      <c r="H248" s="98">
        <v>1</v>
      </c>
      <c r="I248" s="74"/>
      <c r="J248" s="74"/>
      <c r="K248" s="5"/>
      <c r="L248" s="70"/>
      <c r="M248" s="5"/>
      <c r="N248" s="74"/>
      <c r="O248" s="70">
        <f>J248+L248+N248</f>
        <v>0</v>
      </c>
    </row>
    <row r="249" spans="1:15" ht="20.25" customHeight="1">
      <c r="A249" s="9"/>
      <c r="B249" s="25">
        <v>241</v>
      </c>
      <c r="C249" s="19" t="s">
        <v>8</v>
      </c>
      <c r="D249" s="107" t="s">
        <v>195</v>
      </c>
      <c r="E249" s="108" t="s">
        <v>196</v>
      </c>
      <c r="F249" s="78" t="s">
        <v>51</v>
      </c>
      <c r="G249" s="74"/>
      <c r="H249" s="98">
        <v>1</v>
      </c>
      <c r="I249" s="74"/>
      <c r="J249" s="74"/>
      <c r="K249" s="5"/>
      <c r="L249" s="70"/>
      <c r="M249" s="5"/>
      <c r="N249" s="74"/>
      <c r="O249" s="70">
        <f t="shared" si="53"/>
        <v>0</v>
      </c>
    </row>
    <row r="250" spans="1:15" ht="20.25" customHeight="1">
      <c r="A250" s="9"/>
      <c r="B250" s="25">
        <v>242</v>
      </c>
      <c r="C250" s="19" t="s">
        <v>8</v>
      </c>
      <c r="D250" s="107" t="s">
        <v>197</v>
      </c>
      <c r="E250" s="108" t="s">
        <v>198</v>
      </c>
      <c r="F250" s="78" t="s">
        <v>51</v>
      </c>
      <c r="G250" s="74"/>
      <c r="H250" s="98">
        <v>1</v>
      </c>
      <c r="I250" s="74"/>
      <c r="J250" s="74"/>
      <c r="K250" s="5"/>
      <c r="L250" s="70"/>
      <c r="M250" s="5"/>
      <c r="N250" s="74"/>
      <c r="O250" s="70">
        <f t="shared" si="53"/>
        <v>0</v>
      </c>
    </row>
    <row r="251" spans="1:15" ht="20.25" customHeight="1">
      <c r="A251" s="9"/>
      <c r="B251" s="25">
        <v>243</v>
      </c>
      <c r="C251" s="19" t="s">
        <v>358</v>
      </c>
      <c r="D251" s="107" t="s">
        <v>199</v>
      </c>
      <c r="E251" s="108" t="s">
        <v>200</v>
      </c>
      <c r="F251" s="78" t="s">
        <v>51</v>
      </c>
      <c r="G251" s="74"/>
      <c r="H251" s="98">
        <v>4</v>
      </c>
      <c r="I251" s="74"/>
      <c r="J251" s="74"/>
      <c r="K251" s="5"/>
      <c r="L251" s="70"/>
      <c r="M251" s="5"/>
      <c r="N251" s="74"/>
      <c r="O251" s="70">
        <f t="shared" si="53"/>
        <v>0</v>
      </c>
    </row>
    <row r="252" spans="1:15" ht="20.25" customHeight="1">
      <c r="A252" s="9"/>
      <c r="B252" s="25">
        <v>244</v>
      </c>
      <c r="C252" s="19" t="s">
        <v>320</v>
      </c>
      <c r="D252" s="107" t="s">
        <v>201</v>
      </c>
      <c r="E252" s="108" t="s">
        <v>202</v>
      </c>
      <c r="F252" s="78" t="s">
        <v>51</v>
      </c>
      <c r="G252" s="74"/>
      <c r="H252" s="98">
        <v>9</v>
      </c>
      <c r="I252" s="74"/>
      <c r="J252" s="74"/>
      <c r="K252" s="70"/>
      <c r="L252" s="70"/>
      <c r="M252" s="74"/>
      <c r="N252" s="74"/>
      <c r="O252" s="70">
        <f t="shared" si="53"/>
        <v>0</v>
      </c>
    </row>
    <row r="253" spans="1:15" ht="20.25" customHeight="1">
      <c r="A253" s="9"/>
      <c r="B253" s="25">
        <v>245</v>
      </c>
      <c r="C253" s="19" t="s">
        <v>8</v>
      </c>
      <c r="D253" s="107" t="s">
        <v>203</v>
      </c>
      <c r="E253" s="108" t="s">
        <v>204</v>
      </c>
      <c r="F253" s="78" t="s">
        <v>51</v>
      </c>
      <c r="G253" s="74"/>
      <c r="H253" s="98">
        <v>12</v>
      </c>
      <c r="I253" s="74"/>
      <c r="J253" s="74"/>
      <c r="K253" s="70"/>
      <c r="L253" s="70"/>
      <c r="M253" s="74"/>
      <c r="N253" s="74"/>
      <c r="O253" s="70">
        <f t="shared" si="53"/>
        <v>0</v>
      </c>
    </row>
    <row r="254" spans="1:15" ht="20.25" customHeight="1">
      <c r="A254" s="9"/>
      <c r="B254" s="25">
        <v>246</v>
      </c>
      <c r="C254" s="19" t="s">
        <v>8</v>
      </c>
      <c r="D254" s="107" t="s">
        <v>205</v>
      </c>
      <c r="E254" s="108" t="s">
        <v>335</v>
      </c>
      <c r="F254" s="78" t="s">
        <v>51</v>
      </c>
      <c r="G254" s="74"/>
      <c r="H254" s="98">
        <v>30</v>
      </c>
      <c r="I254" s="74"/>
      <c r="J254" s="74"/>
      <c r="K254" s="70"/>
      <c r="L254" s="70"/>
      <c r="M254" s="74"/>
      <c r="N254" s="74"/>
      <c r="O254" s="70">
        <f t="shared" si="53"/>
        <v>0</v>
      </c>
    </row>
    <row r="255" spans="1:15" ht="20.25" customHeight="1">
      <c r="A255" s="9"/>
      <c r="B255" s="25">
        <v>247</v>
      </c>
      <c r="C255" s="19" t="s">
        <v>8</v>
      </c>
      <c r="D255" s="107" t="s">
        <v>205</v>
      </c>
      <c r="E255" s="108" t="s">
        <v>206</v>
      </c>
      <c r="F255" s="78" t="s">
        <v>51</v>
      </c>
      <c r="G255" s="74"/>
      <c r="H255" s="98">
        <v>40</v>
      </c>
      <c r="I255" s="74"/>
      <c r="J255" s="74"/>
      <c r="K255" s="70"/>
      <c r="L255" s="70"/>
      <c r="M255" s="74"/>
      <c r="N255" s="74"/>
      <c r="O255" s="70">
        <f t="shared" si="53"/>
        <v>0</v>
      </c>
    </row>
    <row r="256" spans="1:15" ht="30.75" customHeight="1">
      <c r="A256" s="9"/>
      <c r="B256" s="25">
        <v>248</v>
      </c>
      <c r="C256" s="19" t="s">
        <v>309</v>
      </c>
      <c r="D256" s="107" t="s">
        <v>238</v>
      </c>
      <c r="E256" s="108" t="s">
        <v>207</v>
      </c>
      <c r="F256" s="78" t="s">
        <v>189</v>
      </c>
      <c r="G256" s="74"/>
      <c r="H256" s="98">
        <v>18</v>
      </c>
      <c r="I256" s="74"/>
      <c r="J256" s="74"/>
      <c r="K256" s="70"/>
      <c r="L256" s="70"/>
      <c r="M256" s="74"/>
      <c r="N256" s="74"/>
      <c r="O256" s="70">
        <f t="shared" si="53"/>
        <v>0</v>
      </c>
    </row>
    <row r="257" spans="1:15" ht="30.75" customHeight="1">
      <c r="A257" s="9"/>
      <c r="B257" s="25">
        <v>249</v>
      </c>
      <c r="C257" s="19" t="s">
        <v>310</v>
      </c>
      <c r="D257" s="107" t="s">
        <v>208</v>
      </c>
      <c r="E257" s="108" t="s">
        <v>239</v>
      </c>
      <c r="F257" s="78" t="s">
        <v>51</v>
      </c>
      <c r="G257" s="74"/>
      <c r="H257" s="98">
        <v>1</v>
      </c>
      <c r="I257" s="74"/>
      <c r="J257" s="74"/>
      <c r="K257" s="70"/>
      <c r="L257" s="70"/>
      <c r="M257" s="74"/>
      <c r="N257" s="74"/>
      <c r="O257" s="70">
        <f t="shared" si="53"/>
        <v>0</v>
      </c>
    </row>
    <row r="258" spans="1:15" ht="30.75" customHeight="1">
      <c r="A258" s="9"/>
      <c r="B258" s="25">
        <v>250</v>
      </c>
      <c r="C258" s="19" t="s">
        <v>310</v>
      </c>
      <c r="D258" s="107" t="s">
        <v>209</v>
      </c>
      <c r="E258" s="108" t="s">
        <v>239</v>
      </c>
      <c r="F258" s="78" t="s">
        <v>51</v>
      </c>
      <c r="G258" s="74"/>
      <c r="H258" s="98">
        <v>1</v>
      </c>
      <c r="I258" s="74"/>
      <c r="J258" s="74"/>
      <c r="K258" s="70"/>
      <c r="L258" s="70"/>
      <c r="M258" s="74"/>
      <c r="N258" s="74"/>
      <c r="O258" s="70">
        <f t="shared" si="53"/>
        <v>0</v>
      </c>
    </row>
    <row r="259" spans="1:15" ht="30.75" customHeight="1">
      <c r="A259" s="9"/>
      <c r="B259" s="25">
        <v>251</v>
      </c>
      <c r="C259" s="19" t="s">
        <v>310</v>
      </c>
      <c r="D259" s="107" t="s">
        <v>210</v>
      </c>
      <c r="E259" s="108" t="s">
        <v>239</v>
      </c>
      <c r="F259" s="78" t="s">
        <v>51</v>
      </c>
      <c r="G259" s="74"/>
      <c r="H259" s="98">
        <v>3</v>
      </c>
      <c r="I259" s="74"/>
      <c r="J259" s="74"/>
      <c r="K259" s="70"/>
      <c r="L259" s="70"/>
      <c r="M259" s="74"/>
      <c r="N259" s="74"/>
      <c r="O259" s="70">
        <f t="shared" si="53"/>
        <v>0</v>
      </c>
    </row>
    <row r="260" spans="1:15" ht="30.75" customHeight="1">
      <c r="A260" s="9"/>
      <c r="B260" s="25">
        <v>252</v>
      </c>
      <c r="C260" s="19" t="s">
        <v>310</v>
      </c>
      <c r="D260" s="107" t="s">
        <v>211</v>
      </c>
      <c r="E260" s="108" t="s">
        <v>239</v>
      </c>
      <c r="F260" s="78" t="s">
        <v>51</v>
      </c>
      <c r="G260" s="74"/>
      <c r="H260" s="98">
        <v>3</v>
      </c>
      <c r="I260" s="74"/>
      <c r="J260" s="74"/>
      <c r="K260" s="70"/>
      <c r="L260" s="70"/>
      <c r="M260" s="74"/>
      <c r="N260" s="74"/>
      <c r="O260" s="70">
        <f t="shared" si="53"/>
        <v>0</v>
      </c>
    </row>
    <row r="261" spans="1:15" ht="30.75" customHeight="1">
      <c r="A261" s="9"/>
      <c r="B261" s="25">
        <v>253</v>
      </c>
      <c r="C261" s="19" t="s">
        <v>311</v>
      </c>
      <c r="D261" s="107" t="s">
        <v>212</v>
      </c>
      <c r="E261" s="108" t="s">
        <v>204</v>
      </c>
      <c r="F261" s="78" t="s">
        <v>51</v>
      </c>
      <c r="G261" s="74"/>
      <c r="H261" s="98">
        <v>2</v>
      </c>
      <c r="I261" s="74"/>
      <c r="J261" s="74"/>
      <c r="K261" s="70"/>
      <c r="L261" s="70"/>
      <c r="M261" s="74"/>
      <c r="N261" s="74"/>
      <c r="O261" s="70">
        <f t="shared" si="53"/>
        <v>0</v>
      </c>
    </row>
    <row r="262" spans="1:15" ht="75">
      <c r="A262" s="9"/>
      <c r="B262" s="25">
        <v>254</v>
      </c>
      <c r="C262" s="19" t="s">
        <v>336</v>
      </c>
      <c r="D262" s="107" t="s">
        <v>269</v>
      </c>
      <c r="E262" s="108" t="s">
        <v>204</v>
      </c>
      <c r="F262" s="78" t="s">
        <v>51</v>
      </c>
      <c r="G262" s="74"/>
      <c r="H262" s="98">
        <v>2</v>
      </c>
      <c r="I262" s="74"/>
      <c r="J262" s="74"/>
      <c r="K262" s="70"/>
      <c r="L262" s="70"/>
      <c r="M262" s="74"/>
      <c r="N262" s="74"/>
      <c r="O262" s="70">
        <f t="shared" si="53"/>
        <v>0</v>
      </c>
    </row>
    <row r="263" spans="1:15" ht="30.75" customHeight="1">
      <c r="A263" s="9"/>
      <c r="B263" s="25">
        <v>255</v>
      </c>
      <c r="C263" s="19" t="s">
        <v>337</v>
      </c>
      <c r="D263" s="107" t="s">
        <v>213</v>
      </c>
      <c r="E263" s="108" t="s">
        <v>214</v>
      </c>
      <c r="F263" s="78" t="s">
        <v>51</v>
      </c>
      <c r="G263" s="74"/>
      <c r="H263" s="98">
        <v>20</v>
      </c>
      <c r="I263" s="74"/>
      <c r="J263" s="74"/>
      <c r="K263" s="70"/>
      <c r="L263" s="70"/>
      <c r="M263" s="74"/>
      <c r="N263" s="74"/>
      <c r="O263" s="70">
        <f t="shared" si="53"/>
        <v>0</v>
      </c>
    </row>
    <row r="264" spans="1:15" ht="29.25" customHeight="1">
      <c r="A264" s="9"/>
      <c r="B264" s="25">
        <v>256</v>
      </c>
      <c r="C264" s="19" t="s">
        <v>298</v>
      </c>
      <c r="D264" s="107" t="s">
        <v>215</v>
      </c>
      <c r="E264" s="108" t="s">
        <v>338</v>
      </c>
      <c r="F264" s="78" t="s">
        <v>0</v>
      </c>
      <c r="G264" s="74"/>
      <c r="H264" s="98">
        <v>1.9199999999999998E-2</v>
      </c>
      <c r="I264" s="74"/>
      <c r="J264" s="74"/>
      <c r="K264" s="70"/>
      <c r="L264" s="70"/>
      <c r="M264" s="74"/>
      <c r="N264" s="74"/>
      <c r="O264" s="70">
        <f t="shared" si="53"/>
        <v>0</v>
      </c>
    </row>
    <row r="265" spans="1:15" s="4" customFormat="1" ht="20.25" customHeight="1">
      <c r="B265" s="25">
        <v>257</v>
      </c>
      <c r="C265" s="114"/>
      <c r="D265" s="126" t="s">
        <v>244</v>
      </c>
      <c r="E265" s="127"/>
      <c r="F265" s="119"/>
      <c r="G265" s="119"/>
      <c r="H265" s="120"/>
      <c r="I265" s="5"/>
      <c r="J265" s="5"/>
      <c r="K265" s="2"/>
      <c r="L265" s="2"/>
      <c r="M265" s="5"/>
      <c r="N265" s="5"/>
      <c r="O265" s="2"/>
    </row>
    <row r="266" spans="1:15" ht="27.75" customHeight="1">
      <c r="A266" s="9"/>
      <c r="B266" s="25">
        <v>258</v>
      </c>
      <c r="C266" s="19" t="s">
        <v>324</v>
      </c>
      <c r="D266" s="79" t="s">
        <v>245</v>
      </c>
      <c r="E266" s="103" t="s">
        <v>216</v>
      </c>
      <c r="F266" s="100" t="s">
        <v>75</v>
      </c>
      <c r="G266" s="100"/>
      <c r="H266" s="115">
        <v>30</v>
      </c>
      <c r="I266" s="74"/>
      <c r="J266" s="74"/>
      <c r="K266" s="2"/>
      <c r="L266" s="2"/>
      <c r="M266" s="2"/>
      <c r="N266" s="35"/>
      <c r="O266" s="2">
        <f t="shared" ref="O266:O279" si="54">J266+L266+N266</f>
        <v>0</v>
      </c>
    </row>
    <row r="267" spans="1:15" ht="27.75" customHeight="1">
      <c r="A267" s="9"/>
      <c r="B267" s="25">
        <v>259</v>
      </c>
      <c r="C267" s="19" t="s">
        <v>325</v>
      </c>
      <c r="D267" s="79" t="s">
        <v>245</v>
      </c>
      <c r="E267" s="103" t="s">
        <v>217</v>
      </c>
      <c r="F267" s="100" t="s">
        <v>75</v>
      </c>
      <c r="G267" s="100"/>
      <c r="H267" s="115">
        <v>70</v>
      </c>
      <c r="I267" s="74"/>
      <c r="J267" s="74"/>
      <c r="K267" s="2"/>
      <c r="L267" s="2"/>
      <c r="M267" s="2"/>
      <c r="N267" s="35"/>
      <c r="O267" s="2">
        <f t="shared" si="54"/>
        <v>0</v>
      </c>
    </row>
    <row r="268" spans="1:15" ht="20.25" customHeight="1">
      <c r="A268" s="9"/>
      <c r="B268" s="25">
        <v>260</v>
      </c>
      <c r="C268" s="19" t="s">
        <v>331</v>
      </c>
      <c r="D268" s="79" t="s">
        <v>218</v>
      </c>
      <c r="E268" s="128" t="s">
        <v>219</v>
      </c>
      <c r="F268" s="100" t="s">
        <v>51</v>
      </c>
      <c r="G268" s="100"/>
      <c r="H268" s="115">
        <v>1</v>
      </c>
      <c r="I268" s="74"/>
      <c r="J268" s="74"/>
      <c r="K268" s="2"/>
      <c r="L268" s="2"/>
      <c r="M268" s="2"/>
      <c r="N268" s="35"/>
      <c r="O268" s="2">
        <f t="shared" si="54"/>
        <v>0</v>
      </c>
    </row>
    <row r="269" spans="1:15" ht="20.25" customHeight="1">
      <c r="A269" s="9"/>
      <c r="B269" s="25">
        <v>261</v>
      </c>
      <c r="C269" s="19" t="s">
        <v>330</v>
      </c>
      <c r="D269" s="79" t="s">
        <v>218</v>
      </c>
      <c r="E269" s="128" t="s">
        <v>220</v>
      </c>
      <c r="F269" s="100" t="s">
        <v>51</v>
      </c>
      <c r="G269" s="100"/>
      <c r="H269" s="115">
        <v>5</v>
      </c>
      <c r="I269" s="74"/>
      <c r="J269" s="74"/>
      <c r="K269" s="2"/>
      <c r="L269" s="2"/>
      <c r="M269" s="2"/>
      <c r="N269" s="35"/>
      <c r="O269" s="2">
        <f t="shared" si="54"/>
        <v>0</v>
      </c>
    </row>
    <row r="270" spans="1:15" ht="20.25" customHeight="1">
      <c r="A270" s="9"/>
      <c r="B270" s="25">
        <v>262</v>
      </c>
      <c r="C270" s="19" t="s">
        <v>329</v>
      </c>
      <c r="D270" s="79" t="s">
        <v>221</v>
      </c>
      <c r="E270" s="129" t="s">
        <v>246</v>
      </c>
      <c r="F270" s="100" t="s">
        <v>51</v>
      </c>
      <c r="G270" s="100"/>
      <c r="H270" s="115">
        <v>1</v>
      </c>
      <c r="I270" s="74"/>
      <c r="J270" s="74"/>
      <c r="K270" s="2"/>
      <c r="L270" s="2"/>
      <c r="M270" s="2"/>
      <c r="N270" s="35"/>
      <c r="O270" s="2">
        <f t="shared" si="54"/>
        <v>0</v>
      </c>
    </row>
    <row r="271" spans="1:15" ht="20.25" customHeight="1">
      <c r="A271" s="9"/>
      <c r="B271" s="25">
        <v>263</v>
      </c>
      <c r="C271" s="19" t="s">
        <v>328</v>
      </c>
      <c r="D271" s="79" t="s">
        <v>221</v>
      </c>
      <c r="E271" s="129" t="s">
        <v>247</v>
      </c>
      <c r="F271" s="100" t="s">
        <v>51</v>
      </c>
      <c r="G271" s="100"/>
      <c r="H271" s="115">
        <v>1</v>
      </c>
      <c r="I271" s="74"/>
      <c r="J271" s="74"/>
      <c r="K271" s="2"/>
      <c r="L271" s="2"/>
      <c r="M271" s="2"/>
      <c r="N271" s="35"/>
      <c r="O271" s="2">
        <f t="shared" si="54"/>
        <v>0</v>
      </c>
    </row>
    <row r="272" spans="1:15" ht="30" customHeight="1">
      <c r="A272" s="9"/>
      <c r="B272" s="25">
        <v>264</v>
      </c>
      <c r="C272" s="19" t="s">
        <v>327</v>
      </c>
      <c r="D272" s="79" t="s">
        <v>222</v>
      </c>
      <c r="E272" s="129" t="s">
        <v>326</v>
      </c>
      <c r="F272" s="100" t="s">
        <v>51</v>
      </c>
      <c r="G272" s="100"/>
      <c r="H272" s="115">
        <v>6</v>
      </c>
      <c r="I272" s="74"/>
      <c r="J272" s="74"/>
      <c r="K272" s="2"/>
      <c r="L272" s="2"/>
      <c r="M272" s="2"/>
      <c r="N272" s="35"/>
      <c r="O272" s="2">
        <f t="shared" si="54"/>
        <v>0</v>
      </c>
    </row>
    <row r="273" spans="1:15" ht="34.5" customHeight="1">
      <c r="A273" s="9"/>
      <c r="B273" s="25">
        <v>265</v>
      </c>
      <c r="C273" s="19" t="s">
        <v>8</v>
      </c>
      <c r="D273" s="79" t="s">
        <v>305</v>
      </c>
      <c r="E273" s="130" t="s">
        <v>267</v>
      </c>
      <c r="F273" s="100" t="s">
        <v>75</v>
      </c>
      <c r="G273" s="100"/>
      <c r="H273" s="115">
        <v>44</v>
      </c>
      <c r="I273" s="74"/>
      <c r="J273" s="74"/>
      <c r="K273" s="2"/>
      <c r="L273" s="2"/>
      <c r="M273" s="2"/>
      <c r="N273" s="35"/>
      <c r="O273" s="2">
        <f t="shared" si="54"/>
        <v>0</v>
      </c>
    </row>
    <row r="274" spans="1:15" ht="36.75" customHeight="1">
      <c r="A274" s="9"/>
      <c r="B274" s="25">
        <v>266</v>
      </c>
      <c r="C274" s="19" t="s">
        <v>8</v>
      </c>
      <c r="D274" s="131" t="s">
        <v>167</v>
      </c>
      <c r="E274" s="132" t="s">
        <v>223</v>
      </c>
      <c r="F274" s="121" t="s">
        <v>75</v>
      </c>
      <c r="G274" s="121"/>
      <c r="H274" s="115">
        <v>46</v>
      </c>
      <c r="I274" s="74"/>
      <c r="J274" s="74"/>
      <c r="K274" s="70"/>
      <c r="L274" s="2"/>
      <c r="M274" s="2"/>
      <c r="N274" s="35"/>
      <c r="O274" s="2">
        <f t="shared" si="54"/>
        <v>0</v>
      </c>
    </row>
    <row r="275" spans="1:15" ht="20.25" customHeight="1">
      <c r="A275" s="9"/>
      <c r="B275" s="25">
        <v>267</v>
      </c>
      <c r="C275" s="114"/>
      <c r="D275" s="126" t="s">
        <v>248</v>
      </c>
      <c r="E275" s="133"/>
      <c r="F275" s="124"/>
      <c r="G275" s="124"/>
      <c r="H275" s="115"/>
      <c r="I275" s="74"/>
      <c r="J275" s="74"/>
      <c r="K275" s="2"/>
      <c r="L275" s="2"/>
      <c r="M275" s="2"/>
      <c r="N275" s="35"/>
      <c r="O275" s="2">
        <f t="shared" si="54"/>
        <v>0</v>
      </c>
    </row>
    <row r="276" spans="1:15" ht="20.25" customHeight="1">
      <c r="A276" s="9"/>
      <c r="B276" s="25">
        <v>268</v>
      </c>
      <c r="C276" s="19" t="s">
        <v>333</v>
      </c>
      <c r="D276" s="79" t="s">
        <v>224</v>
      </c>
      <c r="E276" s="103" t="s">
        <v>225</v>
      </c>
      <c r="F276" s="100" t="s">
        <v>75</v>
      </c>
      <c r="G276" s="100"/>
      <c r="H276" s="115">
        <v>350</v>
      </c>
      <c r="I276" s="74"/>
      <c r="J276" s="74"/>
      <c r="K276" s="2"/>
      <c r="L276" s="2"/>
      <c r="M276" s="2"/>
      <c r="N276" s="35"/>
      <c r="O276" s="2">
        <f t="shared" si="54"/>
        <v>0</v>
      </c>
    </row>
    <row r="277" spans="1:15" ht="20.25" customHeight="1">
      <c r="A277" s="9"/>
      <c r="B277" s="25">
        <v>269</v>
      </c>
      <c r="C277" s="19" t="s">
        <v>332</v>
      </c>
      <c r="D277" s="79" t="s">
        <v>224</v>
      </c>
      <c r="E277" s="103" t="s">
        <v>226</v>
      </c>
      <c r="F277" s="100" t="s">
        <v>75</v>
      </c>
      <c r="G277" s="100"/>
      <c r="H277" s="115">
        <v>270</v>
      </c>
      <c r="I277" s="74"/>
      <c r="J277" s="74"/>
      <c r="K277" s="2"/>
      <c r="L277" s="2"/>
      <c r="M277" s="2"/>
      <c r="N277" s="35"/>
      <c r="O277" s="2">
        <f t="shared" si="54"/>
        <v>0</v>
      </c>
    </row>
    <row r="278" spans="1:15" ht="20.25" customHeight="1">
      <c r="A278" s="9"/>
      <c r="B278" s="25">
        <v>270</v>
      </c>
      <c r="C278" s="19" t="s">
        <v>8</v>
      </c>
      <c r="D278" s="79" t="s">
        <v>227</v>
      </c>
      <c r="E278" s="134" t="s">
        <v>228</v>
      </c>
      <c r="F278" s="100" t="s">
        <v>51</v>
      </c>
      <c r="G278" s="100"/>
      <c r="H278" s="115">
        <v>20</v>
      </c>
      <c r="I278" s="74"/>
      <c r="J278" s="74"/>
      <c r="K278" s="2"/>
      <c r="L278" s="2"/>
      <c r="M278" s="2"/>
      <c r="N278" s="35"/>
      <c r="O278" s="2">
        <f t="shared" si="54"/>
        <v>0</v>
      </c>
    </row>
    <row r="279" spans="1:15" ht="20.25" customHeight="1">
      <c r="A279" s="9"/>
      <c r="B279" s="25">
        <v>271</v>
      </c>
      <c r="C279" s="19" t="s">
        <v>8</v>
      </c>
      <c r="D279" s="79" t="s">
        <v>229</v>
      </c>
      <c r="E279" s="103" t="s">
        <v>230</v>
      </c>
      <c r="F279" s="100" t="s">
        <v>51</v>
      </c>
      <c r="G279" s="100"/>
      <c r="H279" s="115">
        <v>20</v>
      </c>
      <c r="I279" s="74"/>
      <c r="J279" s="74"/>
      <c r="K279" s="2"/>
      <c r="L279" s="2"/>
      <c r="M279" s="2"/>
      <c r="N279" s="35"/>
      <c r="O279" s="2">
        <f t="shared" si="54"/>
        <v>0</v>
      </c>
    </row>
    <row r="280" spans="1:15" ht="20.25" customHeight="1">
      <c r="A280" s="9"/>
      <c r="B280" s="25">
        <v>272</v>
      </c>
      <c r="C280" s="19"/>
      <c r="D280" s="123" t="s">
        <v>322</v>
      </c>
      <c r="E280" s="116"/>
      <c r="F280" s="117"/>
      <c r="G280" s="118"/>
      <c r="H280" s="98"/>
      <c r="I280" s="74"/>
      <c r="J280" s="74"/>
      <c r="K280" s="70"/>
      <c r="L280" s="70"/>
      <c r="M280" s="74"/>
      <c r="N280" s="74"/>
      <c r="O280" s="70"/>
    </row>
    <row r="281" spans="1:15" ht="20.25" customHeight="1">
      <c r="A281" s="9"/>
      <c r="B281" s="25">
        <v>273</v>
      </c>
      <c r="C281" s="19" t="s">
        <v>315</v>
      </c>
      <c r="D281" s="107" t="s">
        <v>268</v>
      </c>
      <c r="E281" s="108" t="s">
        <v>249</v>
      </c>
      <c r="F281" s="78" t="s">
        <v>5</v>
      </c>
      <c r="G281" s="74"/>
      <c r="H281" s="98">
        <v>26</v>
      </c>
      <c r="I281" s="74"/>
      <c r="J281" s="74"/>
      <c r="K281" s="2"/>
      <c r="L281" s="2"/>
      <c r="M281" s="2"/>
      <c r="N281" s="35"/>
      <c r="O281" s="2">
        <f t="shared" ref="O281:O286" si="55">J281+L281+N281</f>
        <v>0</v>
      </c>
    </row>
    <row r="282" spans="1:15" ht="20.25" customHeight="1">
      <c r="A282" s="9"/>
      <c r="B282" s="25">
        <v>274</v>
      </c>
      <c r="C282" s="19" t="s">
        <v>316</v>
      </c>
      <c r="D282" s="107" t="s">
        <v>250</v>
      </c>
      <c r="E282" s="108" t="s">
        <v>251</v>
      </c>
      <c r="F282" s="78" t="s">
        <v>5</v>
      </c>
      <c r="G282" s="74"/>
      <c r="H282" s="98">
        <v>18</v>
      </c>
      <c r="I282" s="74"/>
      <c r="J282" s="74"/>
      <c r="K282" s="2"/>
      <c r="L282" s="2"/>
      <c r="M282" s="2"/>
      <c r="N282" s="35"/>
      <c r="O282" s="2">
        <f t="shared" si="55"/>
        <v>0</v>
      </c>
    </row>
    <row r="283" spans="1:15" ht="27" customHeight="1">
      <c r="A283" s="9"/>
      <c r="B283" s="25">
        <v>275</v>
      </c>
      <c r="C283" s="19" t="s">
        <v>8</v>
      </c>
      <c r="D283" s="107" t="s">
        <v>252</v>
      </c>
      <c r="E283" s="143" t="s">
        <v>354</v>
      </c>
      <c r="F283" s="78" t="s">
        <v>80</v>
      </c>
      <c r="G283" s="74"/>
      <c r="H283" s="98">
        <v>7.5</v>
      </c>
      <c r="I283" s="74"/>
      <c r="J283" s="74"/>
      <c r="K283" s="2"/>
      <c r="L283" s="2"/>
      <c r="M283" s="2"/>
      <c r="N283" s="35"/>
      <c r="O283" s="2">
        <f t="shared" si="55"/>
        <v>0</v>
      </c>
    </row>
    <row r="284" spans="1:15" ht="20.25" customHeight="1">
      <c r="A284" s="9"/>
      <c r="B284" s="25">
        <v>276</v>
      </c>
      <c r="C284" s="19" t="s">
        <v>317</v>
      </c>
      <c r="D284" s="107" t="s">
        <v>253</v>
      </c>
      <c r="E284" s="108" t="s">
        <v>318</v>
      </c>
      <c r="F284" s="78" t="s">
        <v>5</v>
      </c>
      <c r="G284" s="74"/>
      <c r="H284" s="98">
        <v>6</v>
      </c>
      <c r="I284" s="74"/>
      <c r="J284" s="74"/>
      <c r="K284" s="2"/>
      <c r="L284" s="2"/>
      <c r="M284" s="2"/>
      <c r="N284" s="35"/>
      <c r="O284" s="2">
        <f t="shared" si="55"/>
        <v>0</v>
      </c>
    </row>
    <row r="285" spans="1:15" ht="20.25" customHeight="1">
      <c r="A285" s="9"/>
      <c r="B285" s="25">
        <v>277</v>
      </c>
      <c r="C285" s="19" t="s">
        <v>320</v>
      </c>
      <c r="D285" s="107" t="s">
        <v>321</v>
      </c>
      <c r="E285" s="108" t="s">
        <v>254</v>
      </c>
      <c r="F285" s="78" t="s">
        <v>6</v>
      </c>
      <c r="G285" s="74"/>
      <c r="H285" s="98">
        <v>15</v>
      </c>
      <c r="I285" s="74"/>
      <c r="J285" s="74"/>
      <c r="K285" s="2"/>
      <c r="L285" s="2"/>
      <c r="M285" s="2"/>
      <c r="N285" s="35"/>
      <c r="O285" s="2">
        <f t="shared" si="55"/>
        <v>0</v>
      </c>
    </row>
    <row r="286" spans="1:15" ht="20.25" customHeight="1">
      <c r="A286" s="9"/>
      <c r="B286" s="25">
        <v>278</v>
      </c>
      <c r="C286" s="19" t="s">
        <v>8</v>
      </c>
      <c r="D286" s="107" t="s">
        <v>255</v>
      </c>
      <c r="E286" s="108" t="s">
        <v>256</v>
      </c>
      <c r="F286" s="78" t="s">
        <v>5</v>
      </c>
      <c r="G286" s="74"/>
      <c r="H286" s="98">
        <v>24</v>
      </c>
      <c r="I286" s="74"/>
      <c r="J286" s="74"/>
      <c r="K286" s="2"/>
      <c r="L286" s="2"/>
      <c r="M286" s="2"/>
      <c r="N286" s="35"/>
      <c r="O286" s="2">
        <f t="shared" si="55"/>
        <v>0</v>
      </c>
    </row>
    <row r="287" spans="1:15" ht="20.25" customHeight="1">
      <c r="A287" s="9"/>
      <c r="B287" s="25">
        <v>279</v>
      </c>
      <c r="C287" s="19"/>
      <c r="D287" s="125" t="s">
        <v>323</v>
      </c>
      <c r="E287" s="108"/>
      <c r="F287" s="78"/>
      <c r="G287" s="74"/>
      <c r="H287" s="98"/>
      <c r="I287" s="74"/>
      <c r="J287" s="74"/>
      <c r="K287" s="70"/>
      <c r="L287" s="70"/>
      <c r="M287" s="74"/>
      <c r="N287" s="74"/>
      <c r="O287" s="70"/>
    </row>
    <row r="288" spans="1:15" ht="31.5" customHeight="1">
      <c r="A288" s="9"/>
      <c r="B288" s="25">
        <v>280</v>
      </c>
      <c r="C288" s="19" t="s">
        <v>8</v>
      </c>
      <c r="D288" s="107" t="s">
        <v>359</v>
      </c>
      <c r="E288" s="108" t="s">
        <v>344</v>
      </c>
      <c r="F288" s="78" t="s">
        <v>165</v>
      </c>
      <c r="G288" s="74"/>
      <c r="H288" s="98">
        <v>6</v>
      </c>
      <c r="I288" s="74"/>
      <c r="J288" s="74"/>
      <c r="K288" s="2"/>
      <c r="L288" s="2"/>
      <c r="M288" s="2"/>
      <c r="N288" s="35"/>
      <c r="O288" s="2">
        <f t="shared" ref="O288:O297" si="56">J288+L288+N288</f>
        <v>0</v>
      </c>
    </row>
    <row r="289" spans="1:15" ht="20.25" customHeight="1">
      <c r="A289" s="9"/>
      <c r="B289" s="25">
        <v>281</v>
      </c>
      <c r="C289" s="19" t="s">
        <v>319</v>
      </c>
      <c r="D289" s="107" t="s">
        <v>345</v>
      </c>
      <c r="E289" s="108" t="s">
        <v>346</v>
      </c>
      <c r="F289" s="78" t="s">
        <v>165</v>
      </c>
      <c r="G289" s="74"/>
      <c r="H289" s="98">
        <v>1</v>
      </c>
      <c r="I289" s="74"/>
      <c r="J289" s="74"/>
      <c r="K289" s="2"/>
      <c r="L289" s="2"/>
      <c r="M289" s="2"/>
      <c r="N289" s="35"/>
      <c r="O289" s="2">
        <f t="shared" si="56"/>
        <v>0</v>
      </c>
    </row>
    <row r="290" spans="1:15" ht="36" customHeight="1">
      <c r="A290" s="9"/>
      <c r="B290" s="25">
        <v>282</v>
      </c>
      <c r="C290" s="19" t="s">
        <v>8</v>
      </c>
      <c r="D290" s="107" t="s">
        <v>347</v>
      </c>
      <c r="E290" s="108" t="s">
        <v>348</v>
      </c>
      <c r="F290" s="78" t="s">
        <v>165</v>
      </c>
      <c r="G290" s="74"/>
      <c r="H290" s="98">
        <v>7</v>
      </c>
      <c r="I290" s="74"/>
      <c r="J290" s="74"/>
      <c r="K290" s="2"/>
      <c r="L290" s="2"/>
      <c r="M290" s="2"/>
      <c r="N290" s="35"/>
      <c r="O290" s="2">
        <f t="shared" si="56"/>
        <v>0</v>
      </c>
    </row>
    <row r="291" spans="1:15" ht="20.25" customHeight="1">
      <c r="A291" s="9"/>
      <c r="B291" s="25">
        <v>283</v>
      </c>
      <c r="C291" s="19" t="s">
        <v>8</v>
      </c>
      <c r="D291" s="107" t="s">
        <v>257</v>
      </c>
      <c r="E291" s="108"/>
      <c r="F291" s="78" t="s">
        <v>51</v>
      </c>
      <c r="G291" s="74"/>
      <c r="H291" s="98">
        <v>6</v>
      </c>
      <c r="I291" s="74"/>
      <c r="J291" s="74"/>
      <c r="K291" s="2"/>
      <c r="L291" s="2"/>
      <c r="M291" s="2"/>
      <c r="N291" s="35"/>
      <c r="O291" s="2">
        <f t="shared" si="56"/>
        <v>0</v>
      </c>
    </row>
    <row r="292" spans="1:15" ht="20.25" customHeight="1">
      <c r="A292" s="9"/>
      <c r="B292" s="25">
        <v>284</v>
      </c>
      <c r="C292" s="19" t="s">
        <v>8</v>
      </c>
      <c r="D292" s="107" t="s">
        <v>258</v>
      </c>
      <c r="E292" s="108"/>
      <c r="F292" s="78" t="s">
        <v>51</v>
      </c>
      <c r="G292" s="74"/>
      <c r="H292" s="98">
        <v>3</v>
      </c>
      <c r="I292" s="74"/>
      <c r="J292" s="74"/>
      <c r="K292" s="2"/>
      <c r="L292" s="2"/>
      <c r="M292" s="2"/>
      <c r="N292" s="35"/>
      <c r="O292" s="2">
        <f t="shared" si="56"/>
        <v>0</v>
      </c>
    </row>
    <row r="293" spans="1:15" ht="20.25" customHeight="1">
      <c r="A293" s="9"/>
      <c r="B293" s="25">
        <v>285</v>
      </c>
      <c r="C293" s="19" t="s">
        <v>8</v>
      </c>
      <c r="D293" s="107" t="s">
        <v>259</v>
      </c>
      <c r="E293" s="108"/>
      <c r="F293" s="78" t="s">
        <v>51</v>
      </c>
      <c r="G293" s="74"/>
      <c r="H293" s="98">
        <v>3</v>
      </c>
      <c r="I293" s="74"/>
      <c r="J293" s="74"/>
      <c r="K293" s="2"/>
      <c r="L293" s="2"/>
      <c r="M293" s="2"/>
      <c r="N293" s="35"/>
      <c r="O293" s="2">
        <f t="shared" si="56"/>
        <v>0</v>
      </c>
    </row>
    <row r="294" spans="1:15" ht="20.25" customHeight="1">
      <c r="A294" s="9"/>
      <c r="B294" s="25">
        <v>286</v>
      </c>
      <c r="C294" s="19" t="s">
        <v>339</v>
      </c>
      <c r="D294" s="107" t="s">
        <v>349</v>
      </c>
      <c r="E294" s="110" t="s">
        <v>350</v>
      </c>
      <c r="F294" s="78" t="s">
        <v>75</v>
      </c>
      <c r="G294" s="74"/>
      <c r="H294" s="98">
        <v>10</v>
      </c>
      <c r="I294" s="74"/>
      <c r="J294" s="74"/>
      <c r="K294" s="2"/>
      <c r="L294" s="2"/>
      <c r="M294" s="2"/>
      <c r="N294" s="35"/>
      <c r="O294" s="2">
        <f t="shared" si="56"/>
        <v>0</v>
      </c>
    </row>
    <row r="295" spans="1:15" ht="20.25" customHeight="1">
      <c r="A295" s="9"/>
      <c r="B295" s="25">
        <v>287</v>
      </c>
      <c r="C295" s="19" t="s">
        <v>340</v>
      </c>
      <c r="D295" s="107" t="s">
        <v>349</v>
      </c>
      <c r="E295" s="108" t="s">
        <v>351</v>
      </c>
      <c r="F295" s="78" t="s">
        <v>75</v>
      </c>
      <c r="G295" s="74"/>
      <c r="H295" s="98">
        <v>50</v>
      </c>
      <c r="I295" s="74"/>
      <c r="J295" s="74"/>
      <c r="K295" s="2"/>
      <c r="L295" s="2"/>
      <c r="M295" s="2"/>
      <c r="N295" s="35"/>
      <c r="O295" s="2">
        <f t="shared" si="56"/>
        <v>0</v>
      </c>
    </row>
    <row r="296" spans="1:15" ht="20.25" customHeight="1">
      <c r="A296" s="9"/>
      <c r="B296" s="25">
        <v>288</v>
      </c>
      <c r="C296" s="19" t="s">
        <v>341</v>
      </c>
      <c r="D296" s="107" t="s">
        <v>349</v>
      </c>
      <c r="E296" s="108" t="s">
        <v>352</v>
      </c>
      <c r="F296" s="78" t="s">
        <v>75</v>
      </c>
      <c r="G296" s="74"/>
      <c r="H296" s="98">
        <v>30</v>
      </c>
      <c r="I296" s="74"/>
      <c r="J296" s="74"/>
      <c r="K296" s="2"/>
      <c r="L296" s="2"/>
      <c r="M296" s="2"/>
      <c r="N296" s="35"/>
      <c r="O296" s="2">
        <f t="shared" si="56"/>
        <v>0</v>
      </c>
    </row>
    <row r="297" spans="1:15" ht="20.25" customHeight="1">
      <c r="A297" s="9"/>
      <c r="B297" s="25">
        <v>289</v>
      </c>
      <c r="C297" s="19" t="s">
        <v>8</v>
      </c>
      <c r="D297" s="107" t="s">
        <v>260</v>
      </c>
      <c r="E297" s="108"/>
      <c r="F297" s="78" t="s">
        <v>75</v>
      </c>
      <c r="G297" s="74"/>
      <c r="H297" s="98">
        <v>12</v>
      </c>
      <c r="I297" s="74"/>
      <c r="J297" s="74"/>
      <c r="K297" s="2"/>
      <c r="L297" s="2"/>
      <c r="M297" s="2"/>
      <c r="N297" s="35"/>
      <c r="O297" s="2">
        <f t="shared" si="56"/>
        <v>0</v>
      </c>
    </row>
    <row r="298" spans="1:15" ht="20.25" customHeight="1">
      <c r="A298" s="9"/>
      <c r="B298" s="25">
        <v>290</v>
      </c>
      <c r="C298" s="19"/>
      <c r="D298" s="125" t="s">
        <v>342</v>
      </c>
      <c r="E298" s="108"/>
      <c r="F298" s="78"/>
      <c r="G298" s="74"/>
      <c r="H298" s="98"/>
      <c r="I298" s="74"/>
      <c r="J298" s="74"/>
      <c r="K298" s="70"/>
      <c r="L298" s="70"/>
      <c r="M298" s="74"/>
      <c r="N298" s="74"/>
      <c r="O298" s="70"/>
    </row>
    <row r="299" spans="1:15" ht="20.25" customHeight="1">
      <c r="A299" s="9"/>
      <c r="B299" s="25">
        <v>291</v>
      </c>
      <c r="C299" s="19" t="s">
        <v>312</v>
      </c>
      <c r="D299" s="107" t="s">
        <v>264</v>
      </c>
      <c r="E299" s="108" t="s">
        <v>263</v>
      </c>
      <c r="F299" s="78" t="s">
        <v>6</v>
      </c>
      <c r="G299" s="74"/>
      <c r="H299" s="98">
        <v>15</v>
      </c>
      <c r="I299" s="74"/>
      <c r="J299" s="74"/>
      <c r="K299" s="2"/>
      <c r="L299" s="2"/>
      <c r="M299" s="2"/>
      <c r="N299" s="35"/>
      <c r="O299" s="2">
        <f>J299+L299+N299</f>
        <v>0</v>
      </c>
    </row>
    <row r="300" spans="1:15" ht="20.25" customHeight="1">
      <c r="A300" s="9"/>
      <c r="B300" s="25">
        <v>292</v>
      </c>
      <c r="C300" s="19" t="s">
        <v>134</v>
      </c>
      <c r="D300" s="107" t="s">
        <v>133</v>
      </c>
      <c r="E300" s="108" t="s">
        <v>262</v>
      </c>
      <c r="F300" s="78" t="s">
        <v>5</v>
      </c>
      <c r="G300" s="74"/>
      <c r="H300" s="98">
        <v>80</v>
      </c>
      <c r="I300" s="74"/>
      <c r="J300" s="74"/>
      <c r="K300" s="2"/>
      <c r="L300" s="2"/>
      <c r="M300" s="2"/>
      <c r="N300" s="35"/>
      <c r="O300" s="2">
        <f>J300+L300+N300</f>
        <v>0</v>
      </c>
    </row>
    <row r="301" spans="1:15" ht="20.25" customHeight="1">
      <c r="A301" s="9"/>
      <c r="B301" s="25">
        <v>293</v>
      </c>
      <c r="C301" s="19" t="s">
        <v>313</v>
      </c>
      <c r="D301" s="107" t="s">
        <v>261</v>
      </c>
      <c r="E301" s="122" t="s">
        <v>266</v>
      </c>
      <c r="F301" s="78" t="s">
        <v>5</v>
      </c>
      <c r="G301" s="74"/>
      <c r="H301" s="98">
        <v>20</v>
      </c>
      <c r="I301" s="74"/>
      <c r="J301" s="74"/>
      <c r="K301" s="2"/>
      <c r="L301" s="2"/>
      <c r="M301" s="2"/>
      <c r="N301" s="35"/>
      <c r="O301" s="2">
        <f t="shared" ref="O301:O303" si="57">J301+L301+N301</f>
        <v>0</v>
      </c>
    </row>
    <row r="302" spans="1:15" ht="21" customHeight="1">
      <c r="A302" s="9"/>
      <c r="B302" s="25">
        <v>294</v>
      </c>
      <c r="C302" s="14" t="s">
        <v>8</v>
      </c>
      <c r="D302" s="167" t="s">
        <v>166</v>
      </c>
      <c r="E302" s="168"/>
      <c r="F302" s="78" t="s">
        <v>51</v>
      </c>
      <c r="G302" s="98"/>
      <c r="H302" s="98">
        <v>20</v>
      </c>
      <c r="I302" s="74"/>
      <c r="J302" s="74"/>
      <c r="K302" s="70"/>
      <c r="L302" s="2"/>
      <c r="M302" s="74"/>
      <c r="N302" s="74"/>
      <c r="O302" s="70">
        <f t="shared" si="57"/>
        <v>0</v>
      </c>
    </row>
    <row r="303" spans="1:15" ht="20.25" customHeight="1">
      <c r="A303" s="9"/>
      <c r="B303" s="25">
        <v>295</v>
      </c>
      <c r="C303" s="19" t="s">
        <v>314</v>
      </c>
      <c r="D303" s="107" t="s">
        <v>265</v>
      </c>
      <c r="E303" s="108"/>
      <c r="F303" s="78" t="s">
        <v>6</v>
      </c>
      <c r="G303" s="74"/>
      <c r="H303" s="98">
        <v>1</v>
      </c>
      <c r="I303" s="74"/>
      <c r="J303" s="74"/>
      <c r="K303" s="2"/>
      <c r="L303" s="2"/>
      <c r="M303" s="2"/>
      <c r="N303" s="35"/>
      <c r="O303" s="2">
        <f t="shared" si="57"/>
        <v>0</v>
      </c>
    </row>
    <row r="304" spans="1:15" s="4" customFormat="1" ht="25.5" customHeight="1">
      <c r="A304" s="50"/>
      <c r="B304" s="25">
        <v>296</v>
      </c>
      <c r="C304" s="19"/>
      <c r="D304" s="102" t="s">
        <v>343</v>
      </c>
      <c r="E304" s="104"/>
      <c r="F304" s="3"/>
      <c r="G304" s="35"/>
      <c r="H304" s="98"/>
      <c r="I304" s="20"/>
      <c r="J304" s="2"/>
      <c r="K304" s="2"/>
      <c r="L304" s="2"/>
      <c r="M304" s="2"/>
      <c r="N304" s="35"/>
      <c r="O304" s="2"/>
    </row>
    <row r="305" spans="1:15" ht="20.25" customHeight="1">
      <c r="A305" s="9"/>
      <c r="B305" s="25">
        <v>297</v>
      </c>
      <c r="C305" s="19" t="s">
        <v>8</v>
      </c>
      <c r="D305" s="109" t="s">
        <v>306</v>
      </c>
      <c r="E305" s="110"/>
      <c r="F305" s="78" t="s">
        <v>6</v>
      </c>
      <c r="G305" s="74"/>
      <c r="H305" s="98">
        <v>38</v>
      </c>
      <c r="I305" s="74"/>
      <c r="J305" s="74"/>
      <c r="K305" s="2"/>
      <c r="L305" s="2"/>
      <c r="M305" s="2"/>
      <c r="N305" s="35"/>
      <c r="O305" s="2">
        <f t="shared" ref="O305:O306" si="58">J305+L305+N305</f>
        <v>0</v>
      </c>
    </row>
    <row r="306" spans="1:15" ht="20.25" customHeight="1">
      <c r="A306" s="9"/>
      <c r="B306" s="25">
        <v>298</v>
      </c>
      <c r="C306" s="19" t="s">
        <v>8</v>
      </c>
      <c r="D306" s="109" t="s">
        <v>307</v>
      </c>
      <c r="E306" s="110"/>
      <c r="F306" s="78" t="s">
        <v>6</v>
      </c>
      <c r="G306" s="74"/>
      <c r="H306" s="98">
        <v>75</v>
      </c>
      <c r="I306" s="74"/>
      <c r="J306" s="74"/>
      <c r="K306" s="2"/>
      <c r="L306" s="2"/>
      <c r="M306" s="2"/>
      <c r="N306" s="35"/>
      <c r="O306" s="2">
        <f t="shared" si="58"/>
        <v>0</v>
      </c>
    </row>
    <row r="307" spans="1:15" ht="19.5" customHeight="1">
      <c r="A307" s="9"/>
      <c r="B307" s="25">
        <v>299</v>
      </c>
      <c r="C307" s="19" t="s">
        <v>8</v>
      </c>
      <c r="D307" s="90" t="s">
        <v>103</v>
      </c>
      <c r="E307" s="91"/>
      <c r="F307" s="74" t="s">
        <v>104</v>
      </c>
      <c r="G307" s="35"/>
      <c r="H307" s="87">
        <v>50</v>
      </c>
      <c r="I307" s="35"/>
      <c r="J307" s="35"/>
      <c r="K307" s="2"/>
      <c r="L307" s="2"/>
      <c r="M307" s="35"/>
      <c r="N307" s="35"/>
      <c r="O307" s="2">
        <f>J307+L307+N307</f>
        <v>0</v>
      </c>
    </row>
    <row r="308" spans="1:15" ht="19.5" customHeight="1">
      <c r="A308" s="9"/>
      <c r="B308" s="25">
        <v>300</v>
      </c>
      <c r="C308" s="19"/>
      <c r="D308" s="150" t="s">
        <v>126</v>
      </c>
      <c r="E308" s="151"/>
      <c r="F308" s="25" t="s">
        <v>4</v>
      </c>
      <c r="G308" s="35"/>
      <c r="H308" s="6"/>
      <c r="I308" s="35"/>
      <c r="J308" s="36"/>
      <c r="K308" s="35"/>
      <c r="L308" s="36"/>
      <c r="M308" s="35"/>
      <c r="N308" s="36"/>
      <c r="O308" s="36">
        <f>SUM(O236:O307)</f>
        <v>0</v>
      </c>
    </row>
    <row r="309" spans="1:15" ht="19.5" customHeight="1">
      <c r="A309" s="9"/>
      <c r="B309" s="25">
        <v>301</v>
      </c>
      <c r="C309" s="19"/>
      <c r="D309" s="150" t="s">
        <v>127</v>
      </c>
      <c r="E309" s="151"/>
      <c r="F309" s="25" t="s">
        <v>4</v>
      </c>
      <c r="G309" s="35"/>
      <c r="H309" s="35"/>
      <c r="I309" s="35"/>
      <c r="J309" s="36"/>
      <c r="K309" s="35"/>
      <c r="L309" s="36"/>
      <c r="M309" s="35"/>
      <c r="N309" s="36"/>
      <c r="O309" s="36">
        <f>O44+O233+O308</f>
        <v>0</v>
      </c>
    </row>
    <row r="310" spans="1:15" ht="19.5" customHeight="1">
      <c r="A310" s="9"/>
      <c r="B310" s="25">
        <v>302</v>
      </c>
      <c r="C310" s="19"/>
      <c r="D310" s="150" t="s">
        <v>36</v>
      </c>
      <c r="E310" s="151"/>
      <c r="F310" s="37" t="s">
        <v>37</v>
      </c>
      <c r="G310" s="35"/>
      <c r="H310" s="35"/>
      <c r="I310" s="35"/>
      <c r="J310" s="35"/>
      <c r="K310" s="35"/>
      <c r="L310" s="35"/>
      <c r="M310" s="35"/>
      <c r="N310" s="35"/>
      <c r="O310" s="35">
        <f>O45+O234</f>
        <v>0</v>
      </c>
    </row>
    <row r="311" spans="1:15" ht="19.5" customHeight="1">
      <c r="A311" s="9"/>
      <c r="B311" s="25">
        <v>303</v>
      </c>
      <c r="C311" s="19"/>
      <c r="D311" s="150" t="s">
        <v>128</v>
      </c>
      <c r="E311" s="151"/>
      <c r="F311" s="25" t="s">
        <v>4</v>
      </c>
      <c r="G311" s="35"/>
      <c r="H311" s="35"/>
      <c r="I311" s="35"/>
      <c r="J311" s="35"/>
      <c r="K311" s="35"/>
      <c r="L311" s="35"/>
      <c r="M311" s="35"/>
      <c r="N311" s="35"/>
      <c r="O311" s="36">
        <f>SUM(O309:O310)</f>
        <v>0</v>
      </c>
    </row>
    <row r="312" spans="1:15" ht="19.5" customHeight="1">
      <c r="A312" s="9"/>
      <c r="B312" s="25">
        <v>304</v>
      </c>
      <c r="C312" s="19"/>
      <c r="D312" s="150" t="s">
        <v>14</v>
      </c>
      <c r="E312" s="151"/>
      <c r="F312" s="37">
        <v>0.05</v>
      </c>
      <c r="G312" s="35"/>
      <c r="H312" s="35"/>
      <c r="I312" s="35"/>
      <c r="J312" s="35"/>
      <c r="K312" s="10"/>
      <c r="L312" s="35"/>
      <c r="M312" s="35"/>
      <c r="N312" s="35"/>
      <c r="O312" s="35">
        <f>L308*F312</f>
        <v>0</v>
      </c>
    </row>
    <row r="313" spans="1:15" ht="19.5" customHeight="1">
      <c r="A313" s="9"/>
      <c r="B313" s="25">
        <v>305</v>
      </c>
      <c r="C313" s="19"/>
      <c r="D313" s="150" t="s">
        <v>13</v>
      </c>
      <c r="E313" s="151"/>
      <c r="F313" s="25" t="s">
        <v>4</v>
      </c>
      <c r="G313" s="35"/>
      <c r="H313" s="35"/>
      <c r="I313" s="35"/>
      <c r="J313" s="35"/>
      <c r="K313" s="36"/>
      <c r="L313" s="35"/>
      <c r="M313" s="35"/>
      <c r="N313" s="35"/>
      <c r="O313" s="36">
        <f>SUM(O311:O312)</f>
        <v>0</v>
      </c>
    </row>
    <row r="314" spans="1:15" ht="19.5" customHeight="1">
      <c r="A314" s="9"/>
      <c r="B314" s="25">
        <v>306</v>
      </c>
      <c r="C314" s="19"/>
      <c r="D314" s="150" t="s">
        <v>15</v>
      </c>
      <c r="E314" s="151"/>
      <c r="F314" s="37">
        <v>0.08</v>
      </c>
      <c r="G314" s="35"/>
      <c r="H314" s="35"/>
      <c r="I314" s="35"/>
      <c r="J314" s="35"/>
      <c r="K314" s="35"/>
      <c r="L314" s="35"/>
      <c r="M314" s="35"/>
      <c r="N314" s="35"/>
      <c r="O314" s="35">
        <f>O313*F314</f>
        <v>0</v>
      </c>
    </row>
    <row r="315" spans="1:15" ht="19.5" customHeight="1">
      <c r="A315" s="9"/>
      <c r="B315" s="25">
        <v>307</v>
      </c>
      <c r="C315" s="19"/>
      <c r="D315" s="150" t="s">
        <v>129</v>
      </c>
      <c r="E315" s="151"/>
      <c r="F315" s="25" t="s">
        <v>4</v>
      </c>
      <c r="G315" s="35"/>
      <c r="H315" s="35"/>
      <c r="I315" s="35"/>
      <c r="J315" s="35"/>
      <c r="K315" s="35"/>
      <c r="L315" s="35"/>
      <c r="M315" s="35"/>
      <c r="N315" s="35"/>
      <c r="O315" s="36">
        <f>SUM(O313:O314)</f>
        <v>0</v>
      </c>
    </row>
    <row r="316" spans="1:15" ht="19.5" customHeight="1">
      <c r="A316" s="9"/>
      <c r="B316" s="25">
        <v>308</v>
      </c>
      <c r="C316" s="19"/>
      <c r="D316" s="163" t="s">
        <v>40</v>
      </c>
      <c r="E316" s="164"/>
      <c r="F316" s="37">
        <v>0.02</v>
      </c>
      <c r="G316" s="35"/>
      <c r="H316" s="35"/>
      <c r="I316" s="35"/>
      <c r="J316" s="35"/>
      <c r="K316" s="35"/>
      <c r="L316" s="35"/>
      <c r="M316" s="35"/>
      <c r="N316" s="35"/>
      <c r="O316" s="35">
        <f>O315*F316</f>
        <v>0</v>
      </c>
    </row>
    <row r="317" spans="1:15" ht="19.5" customHeight="1">
      <c r="A317" s="9"/>
      <c r="B317" s="25">
        <v>309</v>
      </c>
      <c r="C317" s="19"/>
      <c r="D317" s="150" t="s">
        <v>13</v>
      </c>
      <c r="E317" s="151"/>
      <c r="F317" s="25" t="s">
        <v>4</v>
      </c>
      <c r="G317" s="35"/>
      <c r="H317" s="35"/>
      <c r="I317" s="35"/>
      <c r="J317" s="35"/>
      <c r="K317" s="35"/>
      <c r="L317" s="35"/>
      <c r="M317" s="35"/>
      <c r="N317" s="35"/>
      <c r="O317" s="36">
        <f>SUM(O315:O316)</f>
        <v>0</v>
      </c>
    </row>
    <row r="318" spans="1:15" ht="19.5" customHeight="1">
      <c r="A318" s="9"/>
      <c r="B318" s="25">
        <v>310</v>
      </c>
      <c r="C318" s="19"/>
      <c r="D318" s="150" t="s">
        <v>39</v>
      </c>
      <c r="E318" s="151"/>
      <c r="F318" s="37">
        <v>0.03</v>
      </c>
      <c r="G318" s="35"/>
      <c r="H318" s="35"/>
      <c r="I318" s="35"/>
      <c r="J318" s="35"/>
      <c r="K318" s="35"/>
      <c r="L318" s="35"/>
      <c r="M318" s="35"/>
      <c r="N318" s="35"/>
      <c r="O318" s="35">
        <f>O317*F318</f>
        <v>0</v>
      </c>
    </row>
    <row r="319" spans="1:15" ht="19.5" customHeight="1">
      <c r="B319" s="25">
        <v>311</v>
      </c>
      <c r="C319" s="19"/>
      <c r="D319" s="150" t="s">
        <v>130</v>
      </c>
      <c r="E319" s="151"/>
      <c r="F319" s="25" t="s">
        <v>4</v>
      </c>
      <c r="G319" s="35"/>
      <c r="H319" s="35"/>
      <c r="I319" s="35"/>
      <c r="J319" s="35"/>
      <c r="K319" s="35"/>
      <c r="L319" s="35"/>
      <c r="M319" s="35"/>
      <c r="N319" s="35"/>
      <c r="O319" s="36">
        <f>SUM(O317:O318)</f>
        <v>0</v>
      </c>
    </row>
    <row r="320" spans="1:15" ht="19.5" customHeight="1">
      <c r="B320" s="25">
        <v>312</v>
      </c>
      <c r="C320" s="11"/>
      <c r="D320" s="150" t="s">
        <v>16</v>
      </c>
      <c r="E320" s="151"/>
      <c r="F320" s="37">
        <v>0.18</v>
      </c>
      <c r="G320" s="35"/>
      <c r="H320" s="35"/>
      <c r="I320" s="35"/>
      <c r="J320" s="35"/>
      <c r="K320" s="35"/>
      <c r="L320" s="35"/>
      <c r="M320" s="35"/>
      <c r="N320" s="35"/>
      <c r="O320" s="35">
        <f>O319*F320</f>
        <v>0</v>
      </c>
    </row>
    <row r="321" spans="2:15" ht="19.5" customHeight="1">
      <c r="B321" s="25">
        <v>316</v>
      </c>
      <c r="C321" s="11"/>
      <c r="D321" s="150" t="s">
        <v>131</v>
      </c>
      <c r="E321" s="151"/>
      <c r="F321" s="25" t="s">
        <v>4</v>
      </c>
      <c r="G321" s="35"/>
      <c r="H321" s="35"/>
      <c r="I321" s="35"/>
      <c r="J321" s="35"/>
      <c r="K321" s="35"/>
      <c r="L321" s="35"/>
      <c r="M321" s="35"/>
      <c r="N321" s="35"/>
      <c r="O321" s="36">
        <f>SUM(O319:O320)</f>
        <v>0</v>
      </c>
    </row>
    <row r="322" spans="2:15" ht="19.5" customHeight="1">
      <c r="B322" s="139"/>
      <c r="C322" s="139"/>
      <c r="D322" s="139"/>
      <c r="E322" s="139"/>
      <c r="F322" s="138"/>
      <c r="G322" s="140"/>
      <c r="H322" s="140"/>
      <c r="I322" s="140"/>
      <c r="J322" s="140"/>
      <c r="K322" s="140"/>
      <c r="L322" s="140"/>
      <c r="M322" s="140"/>
      <c r="N322" s="140"/>
      <c r="O322" s="141"/>
    </row>
    <row r="323" spans="2:15" ht="29.25" customHeight="1">
      <c r="B323" s="139"/>
      <c r="C323" s="139"/>
      <c r="D323" s="142" t="s">
        <v>353</v>
      </c>
      <c r="E323" s="139"/>
      <c r="F323" s="138"/>
      <c r="G323" s="140"/>
      <c r="H323" s="140"/>
      <c r="I323" s="140"/>
      <c r="J323" s="140"/>
      <c r="K323" s="140"/>
      <c r="L323" s="140"/>
      <c r="M323" s="140"/>
      <c r="N323" s="140"/>
      <c r="O323" s="141"/>
    </row>
    <row r="324" spans="2:15" ht="19.5" customHeight="1">
      <c r="B324" s="139"/>
      <c r="C324" s="139"/>
      <c r="D324" s="139"/>
      <c r="E324" s="139"/>
      <c r="F324" s="138"/>
      <c r="G324" s="140"/>
      <c r="H324" s="140"/>
      <c r="I324" s="140"/>
      <c r="J324" s="140"/>
      <c r="K324" s="140"/>
      <c r="L324" s="140"/>
      <c r="M324" s="140"/>
      <c r="N324" s="140"/>
      <c r="O324" s="141"/>
    </row>
    <row r="325" spans="2:15" ht="19.5" customHeight="1">
      <c r="B325" s="139"/>
      <c r="C325" s="139"/>
      <c r="D325" s="139"/>
      <c r="E325" s="139"/>
      <c r="F325" s="138"/>
      <c r="G325" s="140"/>
      <c r="H325" s="140"/>
      <c r="I325" s="140"/>
      <c r="J325" s="140"/>
      <c r="K325" s="140"/>
      <c r="L325" s="140"/>
      <c r="M325" s="140"/>
      <c r="N325" s="140"/>
      <c r="O325" s="141"/>
    </row>
    <row r="326" spans="2:15" ht="19.5" customHeight="1">
      <c r="B326" s="139"/>
      <c r="C326" s="139"/>
      <c r="D326" s="139"/>
      <c r="E326" s="139"/>
      <c r="F326" s="138"/>
      <c r="G326" s="140"/>
      <c r="H326" s="140"/>
      <c r="I326" s="140"/>
      <c r="J326" s="140"/>
      <c r="K326" s="140"/>
      <c r="L326" s="140"/>
      <c r="M326" s="140"/>
      <c r="N326" s="140"/>
      <c r="O326" s="141"/>
    </row>
    <row r="327" spans="2:15" ht="19.5" customHeight="1">
      <c r="B327" s="139"/>
      <c r="C327" s="139"/>
      <c r="D327" s="139"/>
      <c r="E327" s="139"/>
      <c r="F327" s="138"/>
      <c r="G327" s="140"/>
      <c r="H327" s="140"/>
      <c r="I327" s="140"/>
      <c r="J327" s="140"/>
      <c r="K327" s="140"/>
      <c r="L327" s="140"/>
      <c r="M327" s="140"/>
      <c r="N327" s="140"/>
      <c r="O327" s="141"/>
    </row>
    <row r="328" spans="2:15" ht="19.5" customHeight="1">
      <c r="B328" s="139"/>
      <c r="C328" s="139"/>
      <c r="D328" s="139"/>
      <c r="E328" s="139"/>
      <c r="F328" s="138"/>
      <c r="G328" s="140"/>
      <c r="H328" s="140"/>
      <c r="I328" s="140"/>
      <c r="J328" s="140"/>
      <c r="K328" s="140"/>
      <c r="L328" s="140"/>
      <c r="M328" s="140"/>
      <c r="N328" s="140"/>
      <c r="O328" s="141"/>
    </row>
    <row r="329" spans="2:15" ht="18.75" customHeight="1">
      <c r="B329" s="139"/>
      <c r="C329" s="139"/>
      <c r="D329" s="68"/>
      <c r="H329" s="10"/>
      <c r="I329" s="10"/>
      <c r="J329" s="10"/>
      <c r="K329" s="10"/>
      <c r="L329" s="10"/>
      <c r="M329" s="10"/>
      <c r="N329" s="10"/>
      <c r="O329" s="10"/>
    </row>
    <row r="330" spans="2:15" ht="18.75" customHeight="1">
      <c r="B330" s="139"/>
      <c r="C330" s="139"/>
      <c r="D330" s="68"/>
      <c r="H330" s="10"/>
      <c r="I330" s="10"/>
      <c r="J330" s="10"/>
      <c r="K330" s="10"/>
      <c r="L330" s="10"/>
      <c r="M330" s="10"/>
      <c r="N330" s="10"/>
      <c r="O330" s="10"/>
    </row>
    <row r="331" spans="2:15" ht="18.75" customHeight="1">
      <c r="B331" s="139"/>
      <c r="C331" s="139"/>
      <c r="D331" s="68"/>
      <c r="H331" s="10"/>
      <c r="I331" s="10"/>
      <c r="J331" s="10"/>
      <c r="K331" s="10"/>
      <c r="L331" s="10"/>
      <c r="M331" s="10"/>
      <c r="N331" s="10"/>
      <c r="O331" s="10"/>
    </row>
    <row r="332" spans="2:15" ht="18.75" customHeight="1">
      <c r="B332" s="139"/>
      <c r="C332" s="139"/>
      <c r="D332" s="68"/>
      <c r="H332" s="10"/>
      <c r="I332" s="10"/>
      <c r="J332" s="10"/>
      <c r="K332" s="10"/>
      <c r="L332" s="10"/>
      <c r="M332" s="10"/>
      <c r="N332" s="10"/>
      <c r="O332" s="10"/>
    </row>
    <row r="333" spans="2:15" ht="18.75" customHeight="1">
      <c r="B333" s="139"/>
      <c r="C333" s="139"/>
      <c r="D333" s="68"/>
      <c r="H333" s="10"/>
      <c r="I333" s="10"/>
      <c r="J333" s="10"/>
      <c r="K333" s="10"/>
      <c r="L333" s="10"/>
      <c r="M333" s="10"/>
      <c r="N333" s="10"/>
      <c r="O333" s="10"/>
    </row>
    <row r="334" spans="2:15" ht="18.75" customHeight="1">
      <c r="B334" s="139"/>
      <c r="C334" s="139"/>
      <c r="D334" s="68"/>
      <c r="H334" s="10"/>
      <c r="I334" s="10"/>
      <c r="J334" s="10"/>
      <c r="K334" s="10"/>
      <c r="L334" s="10"/>
      <c r="M334" s="10"/>
      <c r="N334" s="10"/>
      <c r="O334" s="10"/>
    </row>
    <row r="335" spans="2:15" ht="18.75" customHeight="1">
      <c r="B335" s="139"/>
      <c r="C335" s="139"/>
      <c r="D335" s="68"/>
      <c r="H335" s="10"/>
      <c r="I335" s="10"/>
      <c r="J335" s="10"/>
      <c r="K335" s="10"/>
      <c r="L335" s="10"/>
      <c r="M335" s="10"/>
      <c r="N335" s="10"/>
      <c r="O335" s="10"/>
    </row>
    <row r="336" spans="2:15" ht="18.75" customHeight="1">
      <c r="B336" s="139"/>
      <c r="C336" s="139"/>
      <c r="D336" s="68"/>
      <c r="H336" s="10"/>
      <c r="I336" s="10"/>
      <c r="J336" s="10"/>
      <c r="K336" s="10"/>
      <c r="L336" s="10"/>
      <c r="M336" s="10"/>
      <c r="N336" s="10"/>
      <c r="O336" s="10"/>
    </row>
    <row r="337" spans="2:15" ht="18.75" customHeight="1">
      <c r="B337" s="139"/>
      <c r="C337" s="139"/>
      <c r="D337" s="68"/>
      <c r="H337" s="10"/>
      <c r="I337" s="10"/>
      <c r="J337" s="10"/>
      <c r="K337" s="10"/>
      <c r="L337" s="10"/>
      <c r="M337" s="10"/>
      <c r="N337" s="10"/>
      <c r="O337" s="10"/>
    </row>
    <row r="338" spans="2:15" ht="18.75" customHeight="1">
      <c r="B338" s="139"/>
      <c r="C338" s="139"/>
      <c r="D338" s="68"/>
      <c r="H338" s="10"/>
      <c r="I338" s="10"/>
      <c r="J338" s="10"/>
      <c r="K338" s="10"/>
      <c r="L338" s="10"/>
      <c r="M338" s="10"/>
      <c r="N338" s="10"/>
      <c r="O338" s="10"/>
    </row>
    <row r="339" spans="2:15" ht="18.75" customHeight="1">
      <c r="B339" s="139"/>
      <c r="C339" s="139"/>
      <c r="D339" s="68"/>
      <c r="H339" s="10"/>
      <c r="I339" s="10"/>
      <c r="J339" s="10"/>
      <c r="K339" s="10"/>
      <c r="L339" s="10"/>
      <c r="M339" s="10"/>
      <c r="N339" s="10"/>
      <c r="O339" s="10"/>
    </row>
    <row r="340" spans="2:15" ht="18.75" customHeight="1">
      <c r="B340" s="139"/>
      <c r="C340" s="139"/>
      <c r="D340" s="68"/>
      <c r="H340" s="10"/>
      <c r="I340" s="10"/>
      <c r="J340" s="10"/>
      <c r="K340" s="10"/>
      <c r="L340" s="10"/>
      <c r="M340" s="10"/>
      <c r="N340" s="10"/>
      <c r="O340" s="10"/>
    </row>
    <row r="341" spans="2:15" ht="18.75" customHeight="1">
      <c r="B341" s="139"/>
      <c r="C341" s="139"/>
      <c r="D341" s="68"/>
      <c r="H341" s="10"/>
      <c r="I341" s="10"/>
      <c r="J341" s="10"/>
      <c r="K341" s="10"/>
      <c r="L341" s="10"/>
      <c r="M341" s="10"/>
      <c r="N341" s="10"/>
      <c r="O341" s="10"/>
    </row>
    <row r="342" spans="2:15" ht="18.75" customHeight="1">
      <c r="B342" s="139"/>
      <c r="C342" s="139"/>
      <c r="D342" s="68"/>
      <c r="H342" s="10"/>
      <c r="I342" s="10"/>
      <c r="J342" s="10"/>
      <c r="K342" s="10"/>
      <c r="L342" s="10"/>
      <c r="M342" s="10"/>
      <c r="N342" s="10"/>
      <c r="O342" s="10"/>
    </row>
    <row r="343" spans="2:15" ht="18.75" customHeight="1">
      <c r="B343" s="139"/>
      <c r="C343" s="139"/>
      <c r="D343" s="68"/>
      <c r="H343" s="10"/>
      <c r="I343" s="10"/>
      <c r="J343" s="10"/>
      <c r="K343" s="10"/>
      <c r="L343" s="10"/>
      <c r="M343" s="10"/>
      <c r="N343" s="10"/>
      <c r="O343" s="10"/>
    </row>
    <row r="344" spans="2:15" ht="18.75" customHeight="1">
      <c r="B344" s="139"/>
      <c r="C344" s="139"/>
      <c r="D344" s="68"/>
      <c r="H344" s="10"/>
      <c r="I344" s="10"/>
      <c r="J344" s="10"/>
      <c r="K344" s="10"/>
      <c r="L344" s="10"/>
      <c r="M344" s="10"/>
      <c r="N344" s="10"/>
      <c r="O344" s="10"/>
    </row>
    <row r="345" spans="2:15" ht="18.75" customHeight="1">
      <c r="B345" s="139"/>
      <c r="C345" s="139"/>
      <c r="D345" s="68"/>
      <c r="H345" s="10"/>
      <c r="I345" s="10"/>
      <c r="J345" s="10"/>
      <c r="K345" s="10"/>
      <c r="L345" s="10"/>
      <c r="M345" s="10"/>
      <c r="N345" s="10"/>
      <c r="O345" s="10"/>
    </row>
    <row r="346" spans="2:15" ht="18.75" customHeight="1">
      <c r="B346" s="139"/>
      <c r="C346" s="139"/>
      <c r="D346" s="68"/>
      <c r="H346" s="10"/>
      <c r="I346" s="10"/>
      <c r="J346" s="10"/>
      <c r="K346" s="10"/>
      <c r="L346" s="10"/>
      <c r="M346" s="10"/>
      <c r="N346" s="10"/>
      <c r="O346" s="10"/>
    </row>
    <row r="347" spans="2:15" ht="18.75" customHeight="1">
      <c r="B347" s="139"/>
      <c r="C347" s="139"/>
      <c r="D347" s="68"/>
      <c r="H347" s="10"/>
      <c r="I347" s="10"/>
      <c r="J347" s="10"/>
      <c r="K347" s="10"/>
      <c r="L347" s="10"/>
      <c r="M347" s="10"/>
      <c r="N347" s="10"/>
      <c r="O347" s="10"/>
    </row>
    <row r="348" spans="2:15" ht="18.75" customHeight="1">
      <c r="B348" s="139"/>
      <c r="C348" s="139"/>
      <c r="D348" s="68"/>
      <c r="H348" s="10"/>
      <c r="I348" s="10"/>
      <c r="J348" s="10"/>
      <c r="K348" s="10"/>
      <c r="L348" s="10"/>
      <c r="M348" s="10"/>
      <c r="N348" s="10"/>
      <c r="O348" s="10"/>
    </row>
    <row r="349" spans="2:15" ht="18.75" customHeight="1">
      <c r="B349" s="139"/>
      <c r="C349" s="139"/>
      <c r="D349" s="68"/>
      <c r="H349" s="10"/>
      <c r="I349" s="10"/>
      <c r="J349" s="10"/>
      <c r="K349" s="10"/>
      <c r="L349" s="10"/>
      <c r="M349" s="10"/>
      <c r="N349" s="10"/>
      <c r="O349" s="10"/>
    </row>
    <row r="350" spans="2:15" ht="18.75" customHeight="1">
      <c r="B350" s="139"/>
      <c r="C350" s="139"/>
      <c r="D350" s="68"/>
      <c r="H350" s="10"/>
      <c r="I350" s="10"/>
      <c r="J350" s="10"/>
      <c r="K350" s="10"/>
      <c r="L350" s="10"/>
      <c r="M350" s="10"/>
      <c r="N350" s="10"/>
      <c r="O350" s="10"/>
    </row>
    <row r="351" spans="2:15" ht="18.75" customHeight="1">
      <c r="B351" s="139"/>
      <c r="C351" s="139"/>
      <c r="D351" s="68"/>
      <c r="H351" s="10"/>
      <c r="I351" s="10"/>
      <c r="J351" s="10"/>
      <c r="K351" s="10"/>
      <c r="L351" s="10"/>
      <c r="M351" s="10"/>
      <c r="N351" s="10"/>
      <c r="O351" s="10"/>
    </row>
    <row r="352" spans="2:15" ht="18.75" customHeight="1">
      <c r="B352" s="139"/>
      <c r="C352" s="139"/>
      <c r="D352" s="68"/>
      <c r="H352" s="10"/>
      <c r="I352" s="10"/>
      <c r="J352" s="10"/>
      <c r="K352" s="10"/>
      <c r="L352" s="10"/>
      <c r="M352" s="10"/>
      <c r="N352" s="10"/>
      <c r="O352" s="10"/>
    </row>
    <row r="353" spans="2:15" ht="18.75" customHeight="1">
      <c r="B353" s="139"/>
      <c r="C353" s="139"/>
      <c r="D353" s="68"/>
      <c r="H353" s="10"/>
      <c r="I353" s="10"/>
      <c r="J353" s="10"/>
      <c r="K353" s="10"/>
      <c r="L353" s="10"/>
      <c r="M353" s="10"/>
      <c r="N353" s="10"/>
      <c r="O353" s="10"/>
    </row>
    <row r="354" spans="2:15" ht="18.75" customHeight="1">
      <c r="B354" s="139"/>
      <c r="C354" s="139"/>
      <c r="D354" s="68"/>
      <c r="H354" s="10"/>
      <c r="I354" s="10"/>
      <c r="J354" s="10"/>
      <c r="K354" s="10"/>
      <c r="L354" s="10"/>
      <c r="M354" s="10"/>
      <c r="N354" s="10"/>
      <c r="O354" s="10"/>
    </row>
    <row r="355" spans="2:15" ht="18.75" customHeight="1">
      <c r="B355" s="139"/>
      <c r="C355" s="139"/>
      <c r="D355" s="68"/>
      <c r="H355" s="10"/>
      <c r="I355" s="10"/>
      <c r="J355" s="10"/>
      <c r="K355" s="10"/>
      <c r="L355" s="10"/>
      <c r="M355" s="10"/>
      <c r="N355" s="10"/>
      <c r="O355" s="10"/>
    </row>
    <row r="356" spans="2:15" ht="18.75" customHeight="1">
      <c r="B356" s="139"/>
      <c r="C356" s="139"/>
      <c r="D356" s="68"/>
      <c r="H356" s="10"/>
      <c r="I356" s="10"/>
      <c r="J356" s="10"/>
      <c r="K356" s="10"/>
      <c r="L356" s="10"/>
      <c r="M356" s="10"/>
      <c r="N356" s="10"/>
      <c r="O356" s="10"/>
    </row>
    <row r="357" spans="2:15" ht="18.75" customHeight="1">
      <c r="B357" s="139"/>
      <c r="C357" s="139"/>
      <c r="D357" s="68"/>
      <c r="H357" s="10"/>
      <c r="I357" s="10"/>
      <c r="J357" s="10"/>
      <c r="K357" s="10"/>
      <c r="L357" s="10"/>
      <c r="M357" s="10"/>
      <c r="N357" s="10"/>
      <c r="O357" s="10"/>
    </row>
    <row r="358" spans="2:15" ht="18.75" customHeight="1">
      <c r="B358" s="139"/>
      <c r="C358" s="139"/>
      <c r="D358" s="68"/>
      <c r="H358" s="10"/>
      <c r="I358" s="10"/>
      <c r="J358" s="10"/>
      <c r="K358" s="10"/>
      <c r="L358" s="10"/>
      <c r="M358" s="10"/>
      <c r="N358" s="10"/>
      <c r="O358" s="10"/>
    </row>
    <row r="359" spans="2:15" ht="18.75" customHeight="1">
      <c r="B359" s="139"/>
      <c r="C359" s="139"/>
      <c r="D359" s="68"/>
      <c r="H359" s="10"/>
      <c r="I359" s="10"/>
      <c r="J359" s="10"/>
      <c r="K359" s="10"/>
      <c r="L359" s="10"/>
      <c r="M359" s="10"/>
      <c r="N359" s="10"/>
      <c r="O359" s="10"/>
    </row>
    <row r="360" spans="2:15" ht="18.75" customHeight="1">
      <c r="B360" s="139"/>
      <c r="C360" s="139"/>
      <c r="D360" s="68"/>
      <c r="H360" s="10"/>
      <c r="I360" s="10"/>
      <c r="J360" s="10"/>
      <c r="K360" s="10"/>
      <c r="L360" s="10"/>
      <c r="M360" s="10"/>
      <c r="N360" s="10"/>
      <c r="O360" s="10"/>
    </row>
    <row r="361" spans="2:15" ht="18.75" customHeight="1">
      <c r="B361" s="139"/>
      <c r="C361" s="139"/>
      <c r="D361" s="68"/>
      <c r="H361" s="10"/>
      <c r="I361" s="10"/>
      <c r="J361" s="10"/>
      <c r="K361" s="10"/>
      <c r="L361" s="10"/>
      <c r="M361" s="10"/>
      <c r="N361" s="10"/>
      <c r="O361" s="10"/>
    </row>
    <row r="362" spans="2:15" ht="18.75" customHeight="1">
      <c r="B362" s="139"/>
      <c r="C362" s="139"/>
      <c r="D362" s="68"/>
      <c r="H362" s="10"/>
      <c r="I362" s="10"/>
      <c r="J362" s="10"/>
      <c r="K362" s="10"/>
      <c r="L362" s="10"/>
      <c r="M362" s="10"/>
      <c r="N362" s="10"/>
      <c r="O362" s="10"/>
    </row>
    <row r="363" spans="2:15" ht="18.75" customHeight="1">
      <c r="B363" s="139"/>
      <c r="C363" s="139"/>
      <c r="D363" s="68"/>
      <c r="H363" s="10"/>
      <c r="I363" s="10"/>
      <c r="J363" s="10"/>
      <c r="K363" s="10"/>
      <c r="L363" s="10"/>
      <c r="M363" s="10"/>
      <c r="N363" s="10"/>
      <c r="O363" s="10"/>
    </row>
    <row r="364" spans="2:15" ht="18.75" customHeight="1">
      <c r="B364" s="139"/>
      <c r="C364" s="139"/>
      <c r="D364" s="68"/>
      <c r="H364" s="10"/>
      <c r="I364" s="10"/>
      <c r="J364" s="10"/>
      <c r="K364" s="10"/>
      <c r="L364" s="10"/>
      <c r="M364" s="10"/>
      <c r="N364" s="10"/>
      <c r="O364" s="10"/>
    </row>
    <row r="365" spans="2:15" ht="18.75" customHeight="1">
      <c r="B365" s="139"/>
      <c r="C365" s="139"/>
      <c r="D365" s="68"/>
      <c r="H365" s="10"/>
      <c r="I365" s="10"/>
      <c r="J365" s="10"/>
      <c r="K365" s="10"/>
      <c r="L365" s="10"/>
      <c r="M365" s="10"/>
      <c r="N365" s="10"/>
      <c r="O365" s="10"/>
    </row>
    <row r="366" spans="2:15" ht="18.75" customHeight="1">
      <c r="B366" s="139"/>
      <c r="C366" s="139"/>
      <c r="D366" s="68"/>
      <c r="H366" s="10"/>
      <c r="I366" s="10"/>
      <c r="J366" s="10"/>
      <c r="K366" s="10"/>
      <c r="L366" s="10"/>
      <c r="M366" s="10"/>
      <c r="N366" s="10"/>
      <c r="O366" s="10"/>
    </row>
    <row r="367" spans="2:15" ht="18.75" customHeight="1">
      <c r="B367" s="139"/>
      <c r="C367" s="139"/>
      <c r="D367" s="68"/>
      <c r="H367" s="10"/>
      <c r="I367" s="10"/>
      <c r="J367" s="10"/>
      <c r="K367" s="10"/>
      <c r="L367" s="10"/>
      <c r="M367" s="10"/>
      <c r="N367" s="10"/>
      <c r="O367" s="10"/>
    </row>
    <row r="368" spans="2:15" ht="18.75" customHeight="1">
      <c r="B368" s="139"/>
      <c r="C368" s="139"/>
      <c r="D368" s="68"/>
      <c r="H368" s="10"/>
      <c r="I368" s="10"/>
      <c r="J368" s="10"/>
      <c r="K368" s="10"/>
      <c r="L368" s="10"/>
      <c r="M368" s="10"/>
      <c r="N368" s="10"/>
      <c r="O368" s="10"/>
    </row>
    <row r="369" spans="2:15" ht="18.75" customHeight="1">
      <c r="B369" s="139"/>
      <c r="C369" s="139"/>
      <c r="D369" s="68"/>
      <c r="H369" s="10"/>
      <c r="I369" s="10"/>
      <c r="J369" s="10"/>
      <c r="K369" s="10"/>
      <c r="L369" s="10"/>
      <c r="M369" s="10"/>
      <c r="N369" s="10"/>
      <c r="O369" s="10"/>
    </row>
    <row r="370" spans="2:15" ht="18.75" customHeight="1">
      <c r="B370" s="139"/>
      <c r="C370" s="139"/>
      <c r="D370" s="68"/>
      <c r="H370" s="10"/>
      <c r="I370" s="10"/>
      <c r="J370" s="10"/>
      <c r="K370" s="10"/>
      <c r="L370" s="10"/>
      <c r="M370" s="10"/>
      <c r="N370" s="10"/>
      <c r="O370" s="10"/>
    </row>
    <row r="371" spans="2:15" ht="18.75" customHeight="1">
      <c r="B371" s="139"/>
      <c r="C371" s="139"/>
      <c r="D371" s="68"/>
      <c r="H371" s="10"/>
      <c r="I371" s="10"/>
      <c r="J371" s="10"/>
      <c r="K371" s="10"/>
      <c r="L371" s="10"/>
      <c r="M371" s="10"/>
      <c r="N371" s="10"/>
      <c r="O371" s="10"/>
    </row>
    <row r="372" spans="2:15" ht="18.75" customHeight="1">
      <c r="B372" s="139"/>
      <c r="C372" s="139"/>
      <c r="D372" s="68"/>
      <c r="H372" s="10"/>
      <c r="I372" s="10"/>
      <c r="J372" s="10"/>
      <c r="K372" s="10"/>
      <c r="L372" s="10"/>
      <c r="M372" s="10"/>
      <c r="N372" s="10"/>
      <c r="O372" s="10"/>
    </row>
    <row r="373" spans="2:15" ht="18.75" customHeight="1">
      <c r="B373" s="139"/>
      <c r="C373" s="139"/>
      <c r="D373" s="68"/>
      <c r="H373" s="10"/>
      <c r="I373" s="10"/>
      <c r="J373" s="10"/>
      <c r="K373" s="10"/>
      <c r="L373" s="10"/>
      <c r="M373" s="10"/>
      <c r="N373" s="10"/>
      <c r="O373" s="10"/>
    </row>
    <row r="374" spans="2:15" ht="18.75" customHeight="1">
      <c r="B374" s="139"/>
      <c r="C374" s="139"/>
      <c r="D374" s="68"/>
      <c r="H374" s="10"/>
      <c r="I374" s="10"/>
      <c r="J374" s="10"/>
      <c r="K374" s="10"/>
      <c r="L374" s="10"/>
      <c r="M374" s="10"/>
      <c r="N374" s="10"/>
      <c r="O374" s="10"/>
    </row>
    <row r="375" spans="2:15" ht="18.75" customHeight="1">
      <c r="B375" s="139"/>
      <c r="C375" s="139"/>
      <c r="D375" s="68"/>
      <c r="H375" s="10"/>
      <c r="I375" s="10"/>
      <c r="J375" s="10"/>
      <c r="K375" s="10"/>
      <c r="L375" s="10"/>
      <c r="M375" s="10"/>
      <c r="N375" s="10"/>
      <c r="O375" s="10"/>
    </row>
    <row r="376" spans="2:15" ht="18.75" customHeight="1">
      <c r="B376" s="139"/>
      <c r="C376" s="139"/>
      <c r="D376" s="68"/>
      <c r="H376" s="10"/>
      <c r="I376" s="10"/>
      <c r="J376" s="10"/>
      <c r="K376" s="10"/>
      <c r="L376" s="10"/>
      <c r="M376" s="10"/>
      <c r="N376" s="10"/>
      <c r="O376" s="10"/>
    </row>
    <row r="377" spans="2:15" ht="18.75" customHeight="1">
      <c r="B377" s="139"/>
      <c r="C377" s="139"/>
      <c r="D377" s="68"/>
      <c r="H377" s="10"/>
      <c r="I377" s="10"/>
      <c r="J377" s="10"/>
      <c r="K377" s="10"/>
      <c r="L377" s="10"/>
      <c r="M377" s="10"/>
      <c r="N377" s="10"/>
      <c r="O377" s="10"/>
    </row>
    <row r="378" spans="2:15" ht="18.75" customHeight="1">
      <c r="B378" s="139"/>
      <c r="C378" s="139"/>
      <c r="D378" s="68"/>
      <c r="H378" s="10"/>
      <c r="I378" s="10"/>
      <c r="J378" s="10"/>
      <c r="K378" s="10"/>
      <c r="L378" s="10"/>
      <c r="M378" s="10"/>
      <c r="N378" s="10"/>
      <c r="O378" s="10"/>
    </row>
    <row r="379" spans="2:15" ht="18.75" customHeight="1">
      <c r="B379" s="139"/>
      <c r="C379" s="139"/>
      <c r="D379" s="68"/>
      <c r="H379" s="10"/>
      <c r="I379" s="10"/>
      <c r="J379" s="10"/>
      <c r="K379" s="10"/>
      <c r="L379" s="10"/>
      <c r="M379" s="10"/>
      <c r="N379" s="10"/>
      <c r="O379" s="10"/>
    </row>
    <row r="380" spans="2:15" ht="18.75" customHeight="1">
      <c r="B380" s="139"/>
      <c r="C380" s="139"/>
      <c r="D380" s="68"/>
      <c r="H380" s="10"/>
      <c r="I380" s="10"/>
      <c r="J380" s="10"/>
      <c r="K380" s="10"/>
      <c r="L380" s="10"/>
      <c r="M380" s="10"/>
      <c r="N380" s="10"/>
      <c r="O380" s="10"/>
    </row>
    <row r="381" spans="2:15" ht="18.75" customHeight="1">
      <c r="B381" s="139"/>
      <c r="C381" s="139"/>
      <c r="D381" s="68"/>
      <c r="H381" s="10"/>
      <c r="I381" s="10"/>
      <c r="J381" s="10"/>
      <c r="K381" s="10"/>
      <c r="L381" s="10"/>
      <c r="M381" s="10"/>
      <c r="N381" s="10"/>
      <c r="O381" s="10"/>
    </row>
    <row r="382" spans="2:15" ht="18.75" customHeight="1">
      <c r="B382" s="139"/>
      <c r="C382" s="139"/>
      <c r="D382" s="68"/>
      <c r="H382" s="10"/>
      <c r="I382" s="10"/>
      <c r="J382" s="10"/>
      <c r="K382" s="10"/>
      <c r="L382" s="10"/>
      <c r="M382" s="10"/>
      <c r="N382" s="10"/>
      <c r="O382" s="10"/>
    </row>
    <row r="383" spans="2:15" ht="18.75" customHeight="1">
      <c r="B383" s="139"/>
      <c r="C383" s="139"/>
      <c r="D383" s="68"/>
      <c r="H383" s="10"/>
      <c r="I383" s="10"/>
      <c r="J383" s="10"/>
      <c r="K383" s="10"/>
      <c r="L383" s="10"/>
      <c r="M383" s="10"/>
      <c r="N383" s="10"/>
      <c r="O383" s="10"/>
    </row>
    <row r="384" spans="2:15" ht="18.75" customHeight="1">
      <c r="B384" s="139"/>
      <c r="C384" s="139"/>
      <c r="D384" s="68"/>
      <c r="H384" s="10"/>
      <c r="I384" s="10"/>
      <c r="J384" s="10"/>
      <c r="K384" s="10"/>
      <c r="L384" s="10"/>
      <c r="M384" s="10"/>
      <c r="N384" s="10"/>
      <c r="O384" s="10"/>
    </row>
    <row r="385" spans="1:15" ht="18.75" customHeight="1">
      <c r="B385" s="139"/>
      <c r="C385" s="139"/>
      <c r="D385" s="68"/>
      <c r="H385" s="10"/>
      <c r="I385" s="10"/>
      <c r="J385" s="10"/>
      <c r="K385" s="10"/>
      <c r="L385" s="10"/>
      <c r="M385" s="10"/>
      <c r="N385" s="10"/>
      <c r="O385" s="10"/>
    </row>
    <row r="386" spans="1:15" ht="18.75" customHeight="1">
      <c r="B386" s="139"/>
      <c r="C386" s="139"/>
      <c r="D386" s="68"/>
      <c r="H386" s="10"/>
      <c r="I386" s="10"/>
      <c r="J386" s="10"/>
      <c r="K386" s="10"/>
      <c r="L386" s="10"/>
      <c r="M386" s="10"/>
      <c r="N386" s="10"/>
      <c r="O386" s="10"/>
    </row>
    <row r="389" spans="1:15" ht="21" hidden="1" customHeight="1">
      <c r="A389" s="9"/>
      <c r="B389" s="25">
        <v>2</v>
      </c>
      <c r="C389" s="18" t="s">
        <v>97</v>
      </c>
      <c r="D389" s="161" t="s">
        <v>82</v>
      </c>
      <c r="E389" s="162"/>
      <c r="F389" s="72" t="s">
        <v>0</v>
      </c>
      <c r="G389" s="70"/>
      <c r="H389" s="98">
        <v>0</v>
      </c>
      <c r="I389" s="70"/>
      <c r="J389" s="70"/>
      <c r="K389" s="70"/>
      <c r="L389" s="70"/>
      <c r="M389" s="74"/>
      <c r="N389" s="74"/>
      <c r="O389" s="70"/>
    </row>
    <row r="390" spans="1:15" ht="16.5" hidden="1" customHeight="1">
      <c r="A390" s="9"/>
      <c r="B390" s="25">
        <v>3</v>
      </c>
      <c r="C390" s="14"/>
      <c r="D390" s="75" t="s">
        <v>30</v>
      </c>
      <c r="E390" s="76"/>
      <c r="F390" s="78" t="s">
        <v>1</v>
      </c>
      <c r="G390" s="70">
        <f>160/100</f>
        <v>1.6</v>
      </c>
      <c r="H390" s="70">
        <v>0</v>
      </c>
      <c r="I390" s="2">
        <v>7.2</v>
      </c>
      <c r="J390" s="70">
        <v>0</v>
      </c>
      <c r="K390" s="70"/>
      <c r="L390" s="70"/>
      <c r="M390" s="74"/>
      <c r="N390" s="74"/>
      <c r="O390" s="70">
        <f t="shared" ref="O390:O392" si="59">J390+L390+N390</f>
        <v>0</v>
      </c>
    </row>
    <row r="391" spans="1:15" hidden="1">
      <c r="A391" s="9"/>
      <c r="B391" s="25">
        <v>4</v>
      </c>
      <c r="C391" s="14" t="s">
        <v>93</v>
      </c>
      <c r="D391" s="75" t="s">
        <v>47</v>
      </c>
      <c r="E391" s="76"/>
      <c r="F391" s="77" t="s">
        <v>9</v>
      </c>
      <c r="G391" s="70">
        <f>77.5/100</f>
        <v>0.77500000000000002</v>
      </c>
      <c r="H391" s="74">
        <v>0</v>
      </c>
      <c r="I391" s="70">
        <f>7.41-M391</f>
        <v>1.7300000000000004</v>
      </c>
      <c r="J391" s="70">
        <v>0</v>
      </c>
      <c r="K391" s="70"/>
      <c r="L391" s="70"/>
      <c r="M391" s="74">
        <v>5.68</v>
      </c>
      <c r="N391" s="74">
        <v>0</v>
      </c>
      <c r="O391" s="70">
        <f t="shared" si="59"/>
        <v>0</v>
      </c>
    </row>
    <row r="392" spans="1:15" hidden="1">
      <c r="A392" s="9"/>
      <c r="B392" s="25">
        <v>5</v>
      </c>
      <c r="C392" s="14" t="s">
        <v>100</v>
      </c>
      <c r="D392" s="75" t="s">
        <v>98</v>
      </c>
      <c r="E392" s="76"/>
      <c r="F392" s="77" t="s">
        <v>9</v>
      </c>
      <c r="G392" s="70">
        <f>1.91/100</f>
        <v>1.9099999999999999E-2</v>
      </c>
      <c r="H392" s="74">
        <v>0</v>
      </c>
      <c r="I392" s="70">
        <f>38.55-M392</f>
        <v>27.659999999999997</v>
      </c>
      <c r="J392" s="70">
        <v>0</v>
      </c>
      <c r="K392" s="70"/>
      <c r="L392" s="70"/>
      <c r="M392" s="74">
        <v>10.89</v>
      </c>
      <c r="N392" s="74">
        <v>0</v>
      </c>
      <c r="O392" s="70">
        <f t="shared" si="59"/>
        <v>0</v>
      </c>
    </row>
    <row r="393" spans="1:15" ht="21" hidden="1" customHeight="1">
      <c r="A393" s="9"/>
      <c r="B393" s="25">
        <v>22</v>
      </c>
      <c r="C393" s="18" t="s">
        <v>105</v>
      </c>
      <c r="D393" s="161" t="s">
        <v>83</v>
      </c>
      <c r="E393" s="162"/>
      <c r="F393" s="72" t="s">
        <v>0</v>
      </c>
      <c r="G393" s="70"/>
      <c r="H393" s="98">
        <v>0</v>
      </c>
      <c r="I393" s="70"/>
      <c r="J393" s="70"/>
      <c r="K393" s="70"/>
      <c r="L393" s="70"/>
      <c r="M393" s="74"/>
      <c r="N393" s="74"/>
      <c r="O393" s="70"/>
    </row>
    <row r="394" spans="1:15" ht="16.5" hidden="1" customHeight="1">
      <c r="A394" s="9"/>
      <c r="B394" s="25">
        <v>23</v>
      </c>
      <c r="C394" s="14"/>
      <c r="D394" s="75" t="s">
        <v>30</v>
      </c>
      <c r="E394" s="76"/>
      <c r="F394" s="78" t="s">
        <v>1</v>
      </c>
      <c r="G394" s="70">
        <v>7.3</v>
      </c>
      <c r="H394" s="70">
        <v>0</v>
      </c>
      <c r="I394" s="2">
        <v>7.2</v>
      </c>
      <c r="J394" s="70">
        <v>0</v>
      </c>
      <c r="K394" s="70"/>
      <c r="L394" s="70"/>
      <c r="M394" s="74"/>
      <c r="N394" s="74"/>
      <c r="O394" s="70">
        <f>J394+L394+N394</f>
        <v>0</v>
      </c>
    </row>
    <row r="395" spans="1:15" hidden="1">
      <c r="A395" s="9"/>
      <c r="B395" s="25">
        <v>24</v>
      </c>
      <c r="C395" s="14"/>
      <c r="D395" s="75" t="s">
        <v>99</v>
      </c>
      <c r="E395" s="76"/>
      <c r="F395" s="77" t="s">
        <v>9</v>
      </c>
      <c r="G395" s="70">
        <v>2.9</v>
      </c>
      <c r="H395" s="74">
        <v>0</v>
      </c>
      <c r="I395" s="70"/>
      <c r="J395" s="70"/>
      <c r="K395" s="74"/>
      <c r="L395" s="74"/>
      <c r="M395" s="74">
        <v>4</v>
      </c>
      <c r="N395" s="74">
        <v>0</v>
      </c>
      <c r="O395" s="70">
        <f>J395+L395+N395</f>
        <v>0</v>
      </c>
    </row>
    <row r="396" spans="1:15" ht="19.5" hidden="1" customHeight="1">
      <c r="B396" s="25">
        <v>54</v>
      </c>
      <c r="C396" s="19" t="s">
        <v>92</v>
      </c>
      <c r="D396" s="96" t="s">
        <v>107</v>
      </c>
      <c r="E396" s="97"/>
      <c r="F396" s="31" t="s">
        <v>0</v>
      </c>
      <c r="G396" s="35"/>
      <c r="H396" s="6">
        <v>0</v>
      </c>
      <c r="I396" s="35"/>
      <c r="J396" s="35"/>
      <c r="K396" s="2">
        <v>19.5</v>
      </c>
      <c r="L396" s="74">
        <v>0</v>
      </c>
      <c r="M396" s="35"/>
      <c r="N396" s="35"/>
      <c r="O396" s="70">
        <f t="shared" ref="O396:O397" si="60">J396+L396+N396</f>
        <v>0</v>
      </c>
    </row>
    <row r="397" spans="1:15" ht="19.5" hidden="1" customHeight="1">
      <c r="B397" s="25">
        <v>55</v>
      </c>
      <c r="C397" s="19" t="s">
        <v>102</v>
      </c>
      <c r="D397" s="152" t="s">
        <v>101</v>
      </c>
      <c r="E397" s="153"/>
      <c r="F397" s="31" t="s">
        <v>0</v>
      </c>
      <c r="G397" s="35"/>
      <c r="H397" s="6">
        <v>0</v>
      </c>
      <c r="I397" s="35"/>
      <c r="J397" s="35"/>
      <c r="K397" s="2">
        <v>23</v>
      </c>
      <c r="L397" s="74">
        <v>0</v>
      </c>
      <c r="M397" s="35"/>
      <c r="N397" s="35"/>
      <c r="O397" s="70">
        <f t="shared" si="60"/>
        <v>0</v>
      </c>
    </row>
  </sheetData>
  <mergeCells count="86">
    <mergeCell ref="D389:E389"/>
    <mergeCell ref="D397:E397"/>
    <mergeCell ref="D4:O4"/>
    <mergeCell ref="G6:H6"/>
    <mergeCell ref="F6:F7"/>
    <mergeCell ref="D59:E59"/>
    <mergeCell ref="D63:E63"/>
    <mergeCell ref="D53:E53"/>
    <mergeCell ref="D143:E143"/>
    <mergeCell ref="D56:E56"/>
    <mergeCell ref="D131:E131"/>
    <mergeCell ref="D112:E112"/>
    <mergeCell ref="D158:E158"/>
    <mergeCell ref="D127:E127"/>
    <mergeCell ref="D118:E118"/>
    <mergeCell ref="D97:E97"/>
    <mergeCell ref="D100:E100"/>
    <mergeCell ref="D318:E318"/>
    <mergeCell ref="D170:E170"/>
    <mergeCell ref="D178:E178"/>
    <mergeCell ref="D139:E139"/>
    <mergeCell ref="D126:E126"/>
    <mergeCell ref="D393:E393"/>
    <mergeCell ref="D45:E45"/>
    <mergeCell ref="D15:E15"/>
    <mergeCell ref="D17:E17"/>
    <mergeCell ref="D10:E10"/>
    <mergeCell ref="D67:E67"/>
    <mergeCell ref="D71:E71"/>
    <mergeCell ref="D20:E20"/>
    <mergeCell ref="D22:E22"/>
    <mergeCell ref="D24:E24"/>
    <mergeCell ref="D75:E75"/>
    <mergeCell ref="D47:E47"/>
    <mergeCell ref="D50:E50"/>
    <mergeCell ref="D122:E122"/>
    <mergeCell ref="D88:E88"/>
    <mergeCell ref="D36:E36"/>
    <mergeCell ref="B6:B7"/>
    <mergeCell ref="C6:C7"/>
    <mergeCell ref="D23:E23"/>
    <mergeCell ref="D44:E44"/>
    <mergeCell ref="D320:E320"/>
    <mergeCell ref="D166:E166"/>
    <mergeCell ref="D106:E106"/>
    <mergeCell ref="D302:E302"/>
    <mergeCell ref="D233:E233"/>
    <mergeCell ref="D43:E43"/>
    <mergeCell ref="D42:E42"/>
    <mergeCell ref="D25:E25"/>
    <mergeCell ref="D79:E79"/>
    <mergeCell ref="D174:E174"/>
    <mergeCell ref="D103:E103"/>
    <mergeCell ref="D135:E135"/>
    <mergeCell ref="D321:E321"/>
    <mergeCell ref="D310:E310"/>
    <mergeCell ref="D311:E311"/>
    <mergeCell ref="D87:E87"/>
    <mergeCell ref="D83:E83"/>
    <mergeCell ref="D94:E94"/>
    <mergeCell ref="D309:E309"/>
    <mergeCell ref="D312:E312"/>
    <mergeCell ref="D316:E316"/>
    <mergeCell ref="D315:E315"/>
    <mergeCell ref="D317:E317"/>
    <mergeCell ref="D308:E308"/>
    <mergeCell ref="D91:E91"/>
    <mergeCell ref="D109:E109"/>
    <mergeCell ref="D147:E147"/>
    <mergeCell ref="D193:E193"/>
    <mergeCell ref="D3:O3"/>
    <mergeCell ref="D319:E319"/>
    <mergeCell ref="D313:E313"/>
    <mergeCell ref="D314:E314"/>
    <mergeCell ref="D12:E12"/>
    <mergeCell ref="O6:O7"/>
    <mergeCell ref="I6:J6"/>
    <mergeCell ref="M6:N6"/>
    <mergeCell ref="K6:L6"/>
    <mergeCell ref="D6:E7"/>
    <mergeCell ref="D21:E21"/>
    <mergeCell ref="D234:E234"/>
    <mergeCell ref="D116:E116"/>
    <mergeCell ref="D117:E117"/>
    <mergeCell ref="D154:E154"/>
    <mergeCell ref="D162:E162"/>
  </mergeCells>
  <phoneticPr fontId="42" type="noConversion"/>
  <pageMargins left="0.5" right="0.38" top="0.33" bottom="0.38" header="0.23" footer="0.16"/>
  <pageSetup paperSize="8" scale="69" fitToHeight="0" orientation="landscape" copies="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თავ.ფურც</vt:lpstr>
      <vt:lpstr>რესურსული</vt:lpstr>
      <vt:lpstr>თავ.ფურც!Print_Area</vt:lpstr>
      <vt:lpstr>რესურსული!Print_Area</vt:lpstr>
      <vt:lpstr>რესურსული!Print_Titles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nona.shoshitashvili</dc:creator>
  <cp:lastModifiedBy>Giorgi Beridze</cp:lastModifiedBy>
  <cp:lastPrinted>2023-11-22T12:57:03Z</cp:lastPrinted>
  <dcterms:created xsi:type="dcterms:W3CDTF">2020-11-20T14:41:54Z</dcterms:created>
  <dcterms:modified xsi:type="dcterms:W3CDTF">2024-01-23T08:00:35Z</dcterms:modified>
</cp:coreProperties>
</file>